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585" windowWidth="18195" windowHeight="7260" activeTab="1"/>
  </bookViews>
  <sheets>
    <sheet name="META" sheetId="2" r:id="rId1"/>
    <sheet name="Fluxes" sheetId="1" r:id="rId2"/>
    <sheet name="Concentrations" sheetId="3" r:id="rId3"/>
    <sheet name="StandardsA" sheetId="4" r:id="rId4"/>
    <sheet name="Graphs" sheetId="9" r:id="rId5"/>
  </sheets>
  <calcPr calcId="145621"/>
</workbook>
</file>

<file path=xl/calcChain.xml><?xml version="1.0" encoding="utf-8"?>
<calcChain xmlns="http://schemas.openxmlformats.org/spreadsheetml/2006/main">
  <c r="V22" i="3" l="1"/>
  <c r="V23" i="3"/>
  <c r="T24" i="1"/>
  <c r="O11" i="1" l="1"/>
  <c r="P35" i="1" l="1"/>
  <c r="O35" i="1"/>
  <c r="P34" i="1"/>
  <c r="O34" i="1"/>
  <c r="P33" i="1"/>
  <c r="O33" i="1"/>
  <c r="P32" i="1"/>
  <c r="O32" i="1"/>
  <c r="P31" i="1"/>
  <c r="O31" i="1"/>
  <c r="P30" i="1"/>
  <c r="O30" i="1"/>
  <c r="P29" i="1"/>
  <c r="O29" i="1"/>
  <c r="P28" i="1"/>
  <c r="O28" i="1"/>
  <c r="P27" i="1"/>
  <c r="O27" i="1"/>
  <c r="P26" i="1"/>
  <c r="O26" i="1"/>
  <c r="P25" i="1"/>
  <c r="O25" i="1"/>
  <c r="P24" i="1"/>
  <c r="O24" i="1"/>
  <c r="P23" i="1"/>
  <c r="O23" i="1"/>
  <c r="P22" i="1"/>
  <c r="O22" i="1"/>
  <c r="P21" i="1"/>
  <c r="O21" i="1"/>
  <c r="P20" i="1"/>
  <c r="O20" i="1"/>
  <c r="P19" i="1"/>
  <c r="O19" i="1"/>
  <c r="P18" i="1"/>
  <c r="O18" i="1"/>
  <c r="P17" i="1"/>
  <c r="O17" i="1"/>
  <c r="P16" i="1"/>
  <c r="O16" i="1"/>
  <c r="P15" i="1"/>
  <c r="O15" i="1"/>
  <c r="P14" i="1"/>
  <c r="O14" i="1"/>
  <c r="P13" i="1"/>
  <c r="O13" i="1"/>
  <c r="P12" i="1"/>
  <c r="O12" i="1"/>
  <c r="P11" i="1"/>
  <c r="P10" i="1"/>
  <c r="O10" i="1"/>
  <c r="P9" i="1"/>
  <c r="O9" i="1"/>
  <c r="P8" i="1"/>
  <c r="O8" i="1"/>
  <c r="P7" i="1"/>
  <c r="O7" i="1"/>
  <c r="P6" i="1"/>
  <c r="O6" i="1"/>
  <c r="P5" i="1"/>
  <c r="O5" i="1"/>
  <c r="P4" i="1"/>
  <c r="O4" i="1"/>
  <c r="F36" i="1"/>
  <c r="F35" i="1"/>
  <c r="F34" i="1"/>
  <c r="F33" i="1"/>
  <c r="F32" i="1"/>
  <c r="F31" i="1"/>
  <c r="F30" i="1"/>
  <c r="F29" i="1"/>
  <c r="F28" i="1"/>
  <c r="F27" i="1"/>
  <c r="F26" i="1"/>
  <c r="F25" i="1"/>
  <c r="F24" i="1"/>
  <c r="F23" i="1"/>
  <c r="F22" i="1"/>
  <c r="F21" i="1"/>
  <c r="F20" i="1"/>
  <c r="F19" i="1"/>
  <c r="F18" i="1"/>
  <c r="F17" i="1"/>
  <c r="F16" i="1"/>
  <c r="F15" i="1"/>
  <c r="F14" i="1"/>
  <c r="F13" i="1"/>
  <c r="F12" i="1"/>
  <c r="F11" i="1"/>
  <c r="T11" i="1" s="1"/>
  <c r="F10" i="1"/>
  <c r="F9" i="1"/>
  <c r="F8" i="1"/>
  <c r="F7" i="1"/>
  <c r="F6" i="1"/>
  <c r="F5" i="1"/>
  <c r="F4" i="1"/>
  <c r="T4" i="1" s="1"/>
  <c r="F43" i="1"/>
  <c r="F42" i="1"/>
  <c r="F41" i="1"/>
  <c r="F40" i="1"/>
  <c r="F39" i="1"/>
  <c r="F38" i="1"/>
  <c r="F37" i="1"/>
  <c r="P36" i="1"/>
  <c r="P43" i="1"/>
  <c r="O43" i="1"/>
  <c r="P42" i="1"/>
  <c r="O42" i="1"/>
  <c r="P41" i="1"/>
  <c r="O41" i="1"/>
  <c r="P40" i="1"/>
  <c r="O40" i="1"/>
  <c r="P39" i="1"/>
  <c r="O39" i="1"/>
  <c r="P38" i="1"/>
  <c r="O38" i="1"/>
  <c r="P37" i="1"/>
  <c r="O37" i="1"/>
  <c r="O36" i="1"/>
  <c r="T5" i="1" l="1"/>
  <c r="U5" i="1" s="1"/>
  <c r="T6" i="1"/>
  <c r="U6" i="1" s="1"/>
  <c r="T39" i="1"/>
  <c r="U39" i="1" s="1"/>
  <c r="T38" i="1"/>
  <c r="U38" i="1" s="1"/>
  <c r="T37" i="1"/>
  <c r="U37" i="1" s="1"/>
  <c r="T36" i="1"/>
  <c r="U36" i="1" s="1"/>
  <c r="T42" i="1"/>
  <c r="U42" i="1" s="1"/>
  <c r="T35" i="1"/>
  <c r="U35" i="1" s="1"/>
  <c r="T34" i="1"/>
  <c r="U34" i="1" s="1"/>
  <c r="T33" i="1"/>
  <c r="U33" i="1" s="1"/>
  <c r="T31" i="1"/>
  <c r="U31" i="1" s="1"/>
  <c r="T30" i="1"/>
  <c r="U30" i="1" s="1"/>
  <c r="T29" i="1"/>
  <c r="U29" i="1" s="1"/>
  <c r="T28" i="1"/>
  <c r="U28" i="1" s="1"/>
  <c r="T23" i="1"/>
  <c r="U23" i="1" s="1"/>
  <c r="T22" i="1"/>
  <c r="U22" i="1" s="1"/>
  <c r="T21" i="1"/>
  <c r="U21" i="1" s="1"/>
  <c r="T20" i="1"/>
  <c r="U20" i="1" s="1"/>
  <c r="T27" i="1"/>
  <c r="U27" i="1" s="1"/>
  <c r="T26" i="1"/>
  <c r="U26" i="1" s="1"/>
  <c r="T25" i="1"/>
  <c r="U25" i="1" s="1"/>
  <c r="T19" i="1"/>
  <c r="U19" i="1" s="1"/>
  <c r="T17" i="1"/>
  <c r="U17" i="1" s="1"/>
  <c r="T15" i="1"/>
  <c r="U15" i="1" s="1"/>
  <c r="T13" i="1"/>
  <c r="U13" i="1" s="1"/>
  <c r="T12" i="1"/>
  <c r="U12" i="1" s="1"/>
  <c r="U11" i="1"/>
  <c r="T9" i="1"/>
  <c r="U9" i="1" s="1"/>
  <c r="T7" i="1"/>
  <c r="U7" i="1" s="1"/>
  <c r="U4" i="1"/>
  <c r="T40" i="1"/>
  <c r="U40" i="1" s="1"/>
  <c r="T8" i="1"/>
  <c r="U8" i="1" s="1"/>
  <c r="T16" i="1"/>
  <c r="U16" i="1" s="1"/>
  <c r="U24" i="1"/>
  <c r="T32" i="1"/>
  <c r="U32" i="1" s="1"/>
  <c r="T41" i="1"/>
  <c r="U41" i="1" s="1"/>
  <c r="T43" i="1"/>
  <c r="U43" i="1" s="1"/>
  <c r="T14" i="1"/>
  <c r="U14" i="1" s="1"/>
  <c r="T18" i="1"/>
  <c r="U18" i="1" s="1"/>
  <c r="T10" i="1"/>
  <c r="U10" i="1" s="1"/>
</calcChain>
</file>

<file path=xl/comments1.xml><?xml version="1.0" encoding="utf-8"?>
<comments xmlns="http://schemas.openxmlformats.org/spreadsheetml/2006/main">
  <authors>
    <author>Diego</author>
  </authors>
  <commentList>
    <comment ref="V1" authorId="0">
      <text>
        <r>
          <rPr>
            <b/>
            <sz val="9"/>
            <color indexed="81"/>
            <rFont val="Tahoma"/>
            <family val="2"/>
          </rPr>
          <t>COPIED FROM CO2 FLUX CALCULATION TEMPLATE</t>
        </r>
        <r>
          <rPr>
            <sz val="9"/>
            <color indexed="81"/>
            <rFont val="Tahoma"/>
            <family val="2"/>
          </rPr>
          <t xml:space="preserve">
</t>
        </r>
      </text>
    </comment>
    <comment ref="Q4" authorId="0">
      <text>
        <r>
          <rPr>
            <b/>
            <sz val="9"/>
            <color indexed="81"/>
            <rFont val="Tahoma"/>
            <charset val="1"/>
          </rPr>
          <t>Diego:</t>
        </r>
        <r>
          <rPr>
            <sz val="9"/>
            <color indexed="81"/>
            <rFont val="Tahoma"/>
            <charset val="1"/>
          </rPr>
          <t xml:space="preserve">
Set to reasonable 26C for flux calculations</t>
        </r>
      </text>
    </comment>
    <comment ref="L43" authorId="0">
      <text>
        <r>
          <rPr>
            <b/>
            <sz val="9"/>
            <color indexed="81"/>
            <rFont val="Tahoma"/>
            <charset val="1"/>
          </rPr>
          <t>Diego:</t>
        </r>
        <r>
          <rPr>
            <sz val="9"/>
            <color indexed="81"/>
            <rFont val="Tahoma"/>
            <charset val="1"/>
          </rPr>
          <t xml:space="preserve">
needle loose, excess leaked out, sample ran but  potentially contaminated</t>
        </r>
      </text>
    </comment>
  </commentList>
</comments>
</file>

<file path=xl/sharedStrings.xml><?xml version="1.0" encoding="utf-8"?>
<sst xmlns="http://schemas.openxmlformats.org/spreadsheetml/2006/main" count="131" uniqueCount="109">
  <si>
    <t>CollarID</t>
  </si>
  <si>
    <t>Collar Heights</t>
  </si>
  <si>
    <t>(mm)</t>
  </si>
  <si>
    <t>Vtotal</t>
  </si>
  <si>
    <t>t0</t>
  </si>
  <si>
    <t>t1</t>
  </si>
  <si>
    <t>t2</t>
  </si>
  <si>
    <t xml:space="preserve">Sample times </t>
  </si>
  <si>
    <t>t3</t>
  </si>
  <si>
    <t>(min)</t>
  </si>
  <si>
    <t>(ppm)</t>
  </si>
  <si>
    <t>Slope</t>
  </si>
  <si>
    <t>(ppm/min)</t>
  </si>
  <si>
    <t>CH4 flux</t>
  </si>
  <si>
    <t>ALPN2_1</t>
  </si>
  <si>
    <t>ALPN2_2</t>
  </si>
  <si>
    <t>ALPN2_3</t>
  </si>
  <si>
    <t>ALPN2_4</t>
  </si>
  <si>
    <t>ALPC2_1</t>
  </si>
  <si>
    <t>ALPC2_2</t>
  </si>
  <si>
    <t>ALPC2_3</t>
  </si>
  <si>
    <t>ALPC2_4</t>
  </si>
  <si>
    <t>ALPN3_1</t>
  </si>
  <si>
    <t>ALPN3_2</t>
  </si>
  <si>
    <t>ALPN3_3</t>
  </si>
  <si>
    <t>ALPN3_4</t>
  </si>
  <si>
    <t>ALPC3_1</t>
  </si>
  <si>
    <t>ALPC3_2</t>
  </si>
  <si>
    <t>ALPC3_3</t>
  </si>
  <si>
    <t>ALPC3_4</t>
  </si>
  <si>
    <t>REPN1_1</t>
  </si>
  <si>
    <t>REPN1_2</t>
  </si>
  <si>
    <t>REPN1_3</t>
  </si>
  <si>
    <t>REPN1_4</t>
  </si>
  <si>
    <t>REPC1_1</t>
  </si>
  <si>
    <t>REPC1_2</t>
  </si>
  <si>
    <t>REPC1_3</t>
  </si>
  <si>
    <t>REPC1_4</t>
  </si>
  <si>
    <t>REPN2_1</t>
  </si>
  <si>
    <t>REPN2_2</t>
  </si>
  <si>
    <t>REPN2_3</t>
  </si>
  <si>
    <t>REPN2_4</t>
  </si>
  <si>
    <t>REPC3_1</t>
  </si>
  <si>
    <t>REPC3_2</t>
  </si>
  <si>
    <t>REPC3_3</t>
  </si>
  <si>
    <t>REPC3_4</t>
  </si>
  <si>
    <t>NN2SN_1</t>
  </si>
  <si>
    <t>NN2SN_2</t>
  </si>
  <si>
    <t>NN2SN_3</t>
  </si>
  <si>
    <t>NN2SN_4</t>
  </si>
  <si>
    <t>ALPC1SN_1</t>
  </si>
  <si>
    <t>ALPC1SN_2</t>
  </si>
  <si>
    <t>ALPC1SN_3</t>
  </si>
  <si>
    <t>ALPC1SN_4</t>
  </si>
  <si>
    <t>R2</t>
  </si>
  <si>
    <t>(-)</t>
  </si>
  <si>
    <t>cm2</t>
  </si>
  <si>
    <t>cm3</t>
  </si>
  <si>
    <t>Tair</t>
  </si>
  <si>
    <t xml:space="preserve"> (C) </t>
  </si>
  <si>
    <t>CH4 concentrations</t>
  </si>
  <si>
    <t>(cm3)</t>
  </si>
  <si>
    <t>(mgC.h-1.m-2)</t>
  </si>
  <si>
    <t>Soil area</t>
  </si>
  <si>
    <t>Chamber volume</t>
  </si>
  <si>
    <t>Tsoil</t>
  </si>
  <si>
    <t>VWC</t>
  </si>
  <si>
    <t>Gaswell ID</t>
  </si>
  <si>
    <t>ALPN2_20</t>
  </si>
  <si>
    <t>ALPN2_60</t>
  </si>
  <si>
    <t>ALPN2_100</t>
  </si>
  <si>
    <t>ALPC2_20</t>
  </si>
  <si>
    <t>ALPC2_60</t>
  </si>
  <si>
    <t>ALPC2_100</t>
  </si>
  <si>
    <t>ALPN3_20</t>
  </si>
  <si>
    <t>ALPN3_60</t>
  </si>
  <si>
    <t>ALPN3_100</t>
  </si>
  <si>
    <t>ALPC3_20</t>
  </si>
  <si>
    <t>ALPC3_60</t>
  </si>
  <si>
    <t>ALPC3_100</t>
  </si>
  <si>
    <t>REPN1_20</t>
  </si>
  <si>
    <t>REPN1_60</t>
  </si>
  <si>
    <t>REPN1_100</t>
  </si>
  <si>
    <t>REPC1_20</t>
  </si>
  <si>
    <t>REPC1_60</t>
  </si>
  <si>
    <t>REPC1_100</t>
  </si>
  <si>
    <t>REPN2_20</t>
  </si>
  <si>
    <t>REPN2_60</t>
  </si>
  <si>
    <t>REPN2_100</t>
  </si>
  <si>
    <t>REPC3_20</t>
  </si>
  <si>
    <t>REPC3_60</t>
  </si>
  <si>
    <t>REPC3_100</t>
  </si>
  <si>
    <t>(umol.min-1.m-2)</t>
  </si>
  <si>
    <t>CO2 flux</t>
  </si>
  <si>
    <t>(umol.s-1.m-2)</t>
  </si>
  <si>
    <t>(%)</t>
  </si>
  <si>
    <t>Date run</t>
  </si>
  <si>
    <t>(yyyy-mm-dd hh:mm)</t>
  </si>
  <si>
    <t>CH4 conc. Measured</t>
  </si>
  <si>
    <t>CH4 conc. Standard</t>
  </si>
  <si>
    <t>ID</t>
  </si>
  <si>
    <t>MAY</t>
  </si>
  <si>
    <t xml:space="preserve"> </t>
  </si>
  <si>
    <t>Standard_0.995ppm_a</t>
  </si>
  <si>
    <t>Standard_0.995ppm_b</t>
  </si>
  <si>
    <t>Standard_2.195ppm_a</t>
  </si>
  <si>
    <t>Standard_2.195ppm_b</t>
  </si>
  <si>
    <t>Standard_9.947ppm_a</t>
  </si>
  <si>
    <t>Standard_9.947ppm_b</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</si>
</sst>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
    <numFmt numFmtId="167" formatCode="yyyy\-mm\-dd"/>
  </numFmts>
  <fonts count="9"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name val="Calibri"/>
      <family val="2"/>
      <scheme val="minor"/>
    </font>
    <font>
      <b/>
      <sz val="11"/>
      <color theme="0" tint="-0.499984740745262"/>
      <name val="Calibri"/>
      <family val="2"/>
      <scheme val="minor"/>
    </font>
    <font>
      <sz val="11"/>
      <color theme="0" tint="-0.499984740745262"/>
      <name val="Calibri"/>
      <family val="2"/>
      <scheme val="minor"/>
    </font>
    <font>
      <sz val="9"/>
      <color indexed="81"/>
      <name val="Tahoma"/>
      <charset val="1"/>
    </font>
    <font>
      <b/>
      <sz val="9"/>
      <color indexed="81"/>
      <name val="Tahoma"/>
      <charset val="1"/>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C000"/>
        <bgColor indexed="64"/>
      </patternFill>
    </fill>
  </fills>
  <borders count="25">
    <border>
      <left/>
      <right/>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diagonal/>
    </border>
    <border>
      <left style="thin">
        <color indexed="64"/>
      </left>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s>
  <cellStyleXfs count="1">
    <xf numFmtId="0" fontId="0" fillId="0" borderId="0"/>
  </cellStyleXfs>
  <cellXfs count="148">
    <xf numFmtId="0" fontId="0" fillId="0" borderId="0" xfId="0"/>
    <xf numFmtId="0" fontId="0" fillId="0" borderId="0" xfId="0" applyAlignment="1">
      <alignment horizontal="center"/>
    </xf>
    <xf numFmtId="0" fontId="0" fillId="2" borderId="1" xfId="0" applyFill="1" applyBorder="1" applyAlignment="1">
      <alignment horizontal="center"/>
    </xf>
    <xf numFmtId="0" fontId="0" fillId="2" borderId="2" xfId="0" applyFill="1" applyBorder="1" applyAlignment="1">
      <alignment horizontal="center"/>
    </xf>
    <xf numFmtId="0" fontId="0" fillId="0" borderId="6" xfId="0" applyBorder="1" applyAlignment="1">
      <alignment horizontal="center"/>
    </xf>
    <xf numFmtId="165" fontId="0" fillId="0" borderId="12" xfId="0" applyNumberFormat="1" applyBorder="1" applyAlignment="1">
      <alignment horizontal="center"/>
    </xf>
    <xf numFmtId="165" fontId="0" fillId="0" borderId="13" xfId="0" applyNumberFormat="1" applyBorder="1" applyAlignment="1">
      <alignment horizontal="center"/>
    </xf>
    <xf numFmtId="165" fontId="0" fillId="0" borderId="11" xfId="0" applyNumberFormat="1" applyBorder="1" applyAlignment="1">
      <alignment horizontal="center"/>
    </xf>
    <xf numFmtId="165" fontId="0" fillId="0" borderId="0" xfId="0" applyNumberFormat="1" applyAlignment="1">
      <alignment horizontal="center"/>
    </xf>
    <xf numFmtId="164" fontId="0" fillId="0" borderId="0" xfId="0" applyNumberFormat="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166" fontId="0" fillId="0" borderId="11" xfId="0" applyNumberFormat="1" applyBorder="1" applyAlignment="1">
      <alignment horizontal="center"/>
    </xf>
    <xf numFmtId="166" fontId="0" fillId="0" borderId="12" xfId="0" applyNumberFormat="1" applyBorder="1" applyAlignment="1">
      <alignment horizontal="center"/>
    </xf>
    <xf numFmtId="166" fontId="0" fillId="0" borderId="13" xfId="0" applyNumberFormat="1" applyBorder="1" applyAlignment="1">
      <alignment horizontal="center"/>
    </xf>
    <xf numFmtId="166" fontId="0" fillId="0" borderId="0" xfId="0" applyNumberFormat="1" applyAlignment="1">
      <alignment horizontal="center"/>
    </xf>
    <xf numFmtId="0" fontId="0" fillId="2" borderId="3" xfId="0" applyFill="1" applyBorder="1" applyAlignment="1">
      <alignment horizontal="center"/>
    </xf>
    <xf numFmtId="0" fontId="0" fillId="2" borderId="6" xfId="0" applyFill="1" applyBorder="1" applyAlignment="1">
      <alignment horizontal="center"/>
    </xf>
    <xf numFmtId="0" fontId="0" fillId="2" borderId="15" xfId="0" applyFill="1" applyBorder="1" applyAlignment="1">
      <alignment horizontal="center"/>
    </xf>
    <xf numFmtId="166" fontId="0" fillId="0" borderId="14" xfId="0" applyNumberFormat="1" applyBorder="1" applyAlignment="1">
      <alignment horizontal="center"/>
    </xf>
    <xf numFmtId="165" fontId="0" fillId="0" borderId="14" xfId="0" applyNumberFormat="1" applyBorder="1" applyAlignment="1">
      <alignment horizontal="center"/>
    </xf>
    <xf numFmtId="0" fontId="0" fillId="2" borderId="18" xfId="0" applyFill="1" applyBorder="1" applyAlignment="1">
      <alignment horizontal="center"/>
    </xf>
    <xf numFmtId="0" fontId="1" fillId="0" borderId="6" xfId="0" applyFont="1" applyBorder="1" applyAlignment="1">
      <alignment horizontal="center"/>
    </xf>
    <xf numFmtId="164" fontId="1" fillId="0" borderId="11" xfId="0" applyNumberFormat="1" applyFont="1" applyBorder="1" applyAlignment="1">
      <alignment horizontal="center"/>
    </xf>
    <xf numFmtId="166" fontId="1" fillId="0" borderId="11" xfId="0" applyNumberFormat="1" applyFont="1" applyBorder="1" applyAlignment="1">
      <alignment horizontal="center"/>
    </xf>
    <xf numFmtId="165" fontId="1" fillId="0" borderId="11" xfId="0" applyNumberFormat="1" applyFont="1" applyBorder="1" applyAlignment="1">
      <alignment horizontal="center"/>
    </xf>
    <xf numFmtId="0" fontId="1" fillId="0" borderId="11" xfId="0" applyFont="1" applyBorder="1" applyAlignment="1">
      <alignment horizontal="center"/>
    </xf>
    <xf numFmtId="0" fontId="1" fillId="0" borderId="0" xfId="0" applyFont="1"/>
    <xf numFmtId="0" fontId="1" fillId="0" borderId="0" xfId="0" applyFont="1" applyBorder="1" applyAlignment="1">
      <alignment horizontal="center"/>
    </xf>
    <xf numFmtId="0" fontId="1" fillId="0" borderId="7" xfId="0" applyFont="1" applyBorder="1" applyAlignment="1">
      <alignment horizontal="center"/>
    </xf>
    <xf numFmtId="164" fontId="1" fillId="0" borderId="12" xfId="0" applyNumberFormat="1" applyFont="1" applyBorder="1" applyAlignment="1">
      <alignment horizontal="center"/>
    </xf>
    <xf numFmtId="165" fontId="1" fillId="0" borderId="6" xfId="0" applyNumberFormat="1" applyFont="1" applyBorder="1" applyAlignment="1">
      <alignment horizontal="center"/>
    </xf>
    <xf numFmtId="165" fontId="1" fillId="0" borderId="0" xfId="0" applyNumberFormat="1" applyFont="1" applyBorder="1" applyAlignment="1">
      <alignment horizontal="center"/>
    </xf>
    <xf numFmtId="165" fontId="1" fillId="0" borderId="7" xfId="0" applyNumberFormat="1" applyFont="1" applyBorder="1" applyAlignment="1">
      <alignment horizontal="center"/>
    </xf>
    <xf numFmtId="166" fontId="1" fillId="0" borderId="12" xfId="0" applyNumberFormat="1" applyFont="1" applyBorder="1" applyAlignment="1">
      <alignment horizontal="center"/>
    </xf>
    <xf numFmtId="165" fontId="1" fillId="0" borderId="12" xfId="0" applyNumberFormat="1" applyFont="1" applyBorder="1" applyAlignment="1">
      <alignment horizontal="center"/>
    </xf>
    <xf numFmtId="0" fontId="1" fillId="0" borderId="8" xfId="0" applyFont="1" applyBorder="1"/>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164" fontId="1" fillId="0" borderId="13" xfId="0" applyNumberFormat="1" applyFont="1" applyBorder="1" applyAlignment="1">
      <alignment horizontal="center"/>
    </xf>
    <xf numFmtId="165" fontId="1" fillId="0" borderId="8" xfId="0" applyNumberFormat="1" applyFont="1" applyBorder="1" applyAlignment="1">
      <alignment horizontal="center"/>
    </xf>
    <xf numFmtId="165" fontId="1" fillId="0" borderId="9" xfId="0" applyNumberFormat="1" applyFont="1" applyBorder="1" applyAlignment="1">
      <alignment horizontal="center"/>
    </xf>
    <xf numFmtId="165" fontId="1" fillId="0" borderId="10" xfId="0" applyNumberFormat="1" applyFont="1" applyBorder="1" applyAlignment="1">
      <alignment horizontal="center"/>
    </xf>
    <xf numFmtId="166" fontId="1" fillId="0" borderId="13" xfId="0" applyNumberFormat="1" applyFont="1" applyBorder="1" applyAlignment="1">
      <alignment horizontal="center"/>
    </xf>
    <xf numFmtId="165" fontId="1" fillId="0" borderId="13" xfId="0" applyNumberFormat="1" applyFont="1" applyBorder="1" applyAlignment="1">
      <alignment horizontal="center"/>
    </xf>
    <xf numFmtId="0" fontId="1" fillId="0" borderId="12" xfId="0" applyFont="1" applyBorder="1"/>
    <xf numFmtId="0" fontId="1" fillId="0" borderId="13" xfId="0" applyFont="1" applyBorder="1"/>
    <xf numFmtId="0" fontId="1" fillId="0" borderId="11" xfId="0" applyFont="1" applyBorder="1"/>
    <xf numFmtId="0" fontId="0" fillId="2" borderId="11" xfId="0" applyFill="1" applyBorder="1" applyAlignment="1">
      <alignment horizontal="center"/>
    </xf>
    <xf numFmtId="0" fontId="0" fillId="2" borderId="12" xfId="0" applyFill="1" applyBorder="1" applyAlignment="1">
      <alignment horizontal="center"/>
    </xf>
    <xf numFmtId="0" fontId="0" fillId="2" borderId="14" xfId="0" applyFill="1" applyBorder="1" applyAlignment="1">
      <alignment horizontal="center"/>
    </xf>
    <xf numFmtId="0" fontId="0" fillId="2" borderId="19" xfId="0" applyFill="1" applyBorder="1" applyAlignment="1">
      <alignment horizontal="center"/>
    </xf>
    <xf numFmtId="0" fontId="0" fillId="2" borderId="13" xfId="0" applyFill="1" applyBorder="1" applyAlignment="1">
      <alignment horizontal="center"/>
    </xf>
    <xf numFmtId="0" fontId="0" fillId="2" borderId="20" xfId="0" applyFill="1" applyBorder="1" applyAlignment="1">
      <alignment horizontal="center"/>
    </xf>
    <xf numFmtId="166" fontId="0" fillId="0" borderId="24" xfId="0" applyNumberFormat="1" applyBorder="1" applyAlignment="1">
      <alignment horizontal="center"/>
    </xf>
    <xf numFmtId="165" fontId="0" fillId="0" borderId="24" xfId="0" applyNumberFormat="1" applyBorder="1" applyAlignment="1">
      <alignment horizontal="center"/>
    </xf>
    <xf numFmtId="0" fontId="0" fillId="0" borderId="0" xfId="0" applyAlignment="1">
      <alignment horizontal="left"/>
    </xf>
    <xf numFmtId="165" fontId="0" fillId="0" borderId="10" xfId="0" applyNumberFormat="1" applyFill="1" applyBorder="1" applyAlignment="1">
      <alignment horizontal="center"/>
    </xf>
    <xf numFmtId="0" fontId="0" fillId="3" borderId="0" xfId="0" applyFill="1" applyProtection="1">
      <protection locked="0"/>
    </xf>
    <xf numFmtId="0" fontId="0" fillId="4" borderId="3" xfId="0" applyFill="1" applyBorder="1" applyAlignment="1" applyProtection="1">
      <alignment horizontal="center"/>
      <protection locked="0"/>
    </xf>
    <xf numFmtId="0" fontId="0" fillId="4" borderId="4" xfId="0" applyFill="1" applyBorder="1" applyAlignment="1" applyProtection="1">
      <alignment horizontal="center"/>
      <protection locked="0"/>
    </xf>
    <xf numFmtId="0" fontId="0" fillId="4" borderId="5" xfId="0" applyFill="1" applyBorder="1" applyAlignment="1" applyProtection="1">
      <alignment horizontal="center"/>
      <protection locked="0"/>
    </xf>
    <xf numFmtId="164" fontId="0" fillId="4" borderId="11" xfId="0" applyNumberFormat="1" applyFill="1" applyBorder="1" applyAlignment="1" applyProtection="1">
      <alignment horizontal="center"/>
      <protection locked="0"/>
    </xf>
    <xf numFmtId="165" fontId="0" fillId="4" borderId="5" xfId="0" applyNumberFormat="1" applyFill="1" applyBorder="1" applyAlignment="1" applyProtection="1">
      <alignment horizontal="center"/>
      <protection locked="0"/>
    </xf>
    <xf numFmtId="0" fontId="0" fillId="4" borderId="6" xfId="0" applyFill="1" applyBorder="1" applyAlignment="1" applyProtection="1">
      <alignment horizontal="center"/>
      <protection locked="0"/>
    </xf>
    <xf numFmtId="0" fontId="0" fillId="4" borderId="0" xfId="0" applyFill="1" applyBorder="1" applyAlignment="1" applyProtection="1">
      <alignment horizontal="center"/>
      <protection locked="0"/>
    </xf>
    <xf numFmtId="0" fontId="0" fillId="4" borderId="7" xfId="0" applyFill="1" applyBorder="1" applyAlignment="1" applyProtection="1">
      <alignment horizontal="center"/>
      <protection locked="0"/>
    </xf>
    <xf numFmtId="164" fontId="0" fillId="4" borderId="12" xfId="0" applyNumberFormat="1" applyFill="1" applyBorder="1" applyAlignment="1" applyProtection="1">
      <alignment horizontal="center"/>
      <protection locked="0"/>
    </xf>
    <xf numFmtId="165" fontId="0" fillId="4" borderId="7" xfId="0" applyNumberFormat="1" applyFill="1" applyBorder="1" applyAlignment="1" applyProtection="1">
      <alignment horizontal="center"/>
      <protection locked="0"/>
    </xf>
    <xf numFmtId="0" fontId="0" fillId="4" borderId="15" xfId="0" applyFill="1" applyBorder="1" applyAlignment="1" applyProtection="1">
      <alignment horizontal="center"/>
      <protection locked="0"/>
    </xf>
    <xf numFmtId="0" fontId="0" fillId="4" borderId="16" xfId="0" applyFill="1" applyBorder="1" applyAlignment="1" applyProtection="1">
      <alignment horizontal="center"/>
      <protection locked="0"/>
    </xf>
    <xf numFmtId="0" fontId="0" fillId="4" borderId="17" xfId="0" applyFill="1" applyBorder="1" applyAlignment="1" applyProtection="1">
      <alignment horizontal="center"/>
      <protection locked="0"/>
    </xf>
    <xf numFmtId="164" fontId="0" fillId="4" borderId="14" xfId="0" applyNumberFormat="1" applyFill="1" applyBorder="1" applyAlignment="1" applyProtection="1">
      <alignment horizontal="center"/>
      <protection locked="0"/>
    </xf>
    <xf numFmtId="165" fontId="0" fillId="4" borderId="17" xfId="0" applyNumberFormat="1" applyFill="1" applyBorder="1" applyAlignment="1" applyProtection="1">
      <alignment horizontal="center"/>
      <protection locked="0"/>
    </xf>
    <xf numFmtId="0" fontId="0" fillId="4" borderId="21" xfId="0" applyFill="1" applyBorder="1" applyAlignment="1" applyProtection="1">
      <alignment horizontal="center"/>
      <protection locked="0"/>
    </xf>
    <xf numFmtId="0" fontId="0" fillId="4" borderId="22" xfId="0" applyFill="1" applyBorder="1" applyAlignment="1" applyProtection="1">
      <alignment horizontal="center"/>
      <protection locked="0"/>
    </xf>
    <xf numFmtId="0" fontId="0" fillId="4" borderId="23" xfId="0" applyFill="1" applyBorder="1" applyAlignment="1" applyProtection="1">
      <alignment horizontal="center"/>
      <protection locked="0"/>
    </xf>
    <xf numFmtId="164" fontId="0" fillId="4" borderId="24" xfId="0" applyNumberFormat="1" applyFill="1" applyBorder="1" applyAlignment="1" applyProtection="1">
      <alignment horizontal="center"/>
      <protection locked="0"/>
    </xf>
    <xf numFmtId="165" fontId="0" fillId="4" borderId="23" xfId="0" applyNumberFormat="1" applyFill="1" applyBorder="1" applyAlignment="1" applyProtection="1">
      <alignment horizontal="center"/>
      <protection locked="0"/>
    </xf>
    <xf numFmtId="0" fontId="0" fillId="4" borderId="8" xfId="0" applyFill="1" applyBorder="1" applyAlignment="1" applyProtection="1">
      <alignment horizontal="center"/>
      <protection locked="0"/>
    </xf>
    <xf numFmtId="0" fontId="0" fillId="4" borderId="9" xfId="0" applyFill="1" applyBorder="1" applyAlignment="1" applyProtection="1">
      <alignment horizontal="center"/>
      <protection locked="0"/>
    </xf>
    <xf numFmtId="0" fontId="0" fillId="4" borderId="10" xfId="0" applyFill="1" applyBorder="1" applyAlignment="1" applyProtection="1">
      <alignment horizontal="center"/>
      <protection locked="0"/>
    </xf>
    <xf numFmtId="164" fontId="0" fillId="4" borderId="13" xfId="0" applyNumberFormat="1" applyFill="1" applyBorder="1" applyAlignment="1" applyProtection="1">
      <alignment horizontal="center"/>
      <protection locked="0"/>
    </xf>
    <xf numFmtId="165" fontId="0" fillId="4" borderId="10" xfId="0" applyNumberFormat="1" applyFill="1" applyBorder="1" applyAlignment="1" applyProtection="1">
      <alignment horizontal="center"/>
      <protection locked="0"/>
    </xf>
    <xf numFmtId="166" fontId="0" fillId="4" borderId="11" xfId="0" applyNumberFormat="1" applyFill="1" applyBorder="1" applyAlignment="1" applyProtection="1">
      <alignment horizontal="center"/>
      <protection locked="0"/>
    </xf>
    <xf numFmtId="166" fontId="0" fillId="4" borderId="12" xfId="0" applyNumberFormat="1" applyFill="1" applyBorder="1" applyAlignment="1" applyProtection="1">
      <alignment horizontal="center"/>
      <protection locked="0"/>
    </xf>
    <xf numFmtId="166" fontId="0" fillId="4" borderId="14" xfId="0" applyNumberFormat="1" applyFill="1" applyBorder="1" applyAlignment="1" applyProtection="1">
      <alignment horizontal="center"/>
      <protection locked="0"/>
    </xf>
    <xf numFmtId="166" fontId="0" fillId="4" borderId="24" xfId="0" applyNumberFormat="1" applyFill="1" applyBorder="1" applyAlignment="1" applyProtection="1">
      <alignment horizontal="center"/>
      <protection locked="0"/>
    </xf>
    <xf numFmtId="166" fontId="4" fillId="4" borderId="12" xfId="0" applyNumberFormat="1" applyFont="1" applyFill="1" applyBorder="1" applyAlignment="1" applyProtection="1">
      <alignment horizontal="center"/>
      <protection locked="0"/>
    </xf>
    <xf numFmtId="166" fontId="4" fillId="4" borderId="14" xfId="0" applyNumberFormat="1" applyFont="1" applyFill="1" applyBorder="1" applyAlignment="1" applyProtection="1">
      <alignment horizontal="center"/>
      <protection locked="0"/>
    </xf>
    <xf numFmtId="166" fontId="4" fillId="4" borderId="13" xfId="0" applyNumberFormat="1" applyFont="1" applyFill="1" applyBorder="1" applyAlignment="1" applyProtection="1">
      <alignment horizontal="center"/>
      <protection locked="0"/>
    </xf>
    <xf numFmtId="165" fontId="5" fillId="0" borderId="11" xfId="0" applyNumberFormat="1" applyFont="1" applyBorder="1" applyAlignment="1">
      <alignment horizontal="center"/>
    </xf>
    <xf numFmtId="17" fontId="5" fillId="0" borderId="12" xfId="0" applyNumberFormat="1" applyFont="1" applyBorder="1" applyAlignment="1">
      <alignment horizontal="center"/>
    </xf>
    <xf numFmtId="165" fontId="5" fillId="0" borderId="13" xfId="0" applyNumberFormat="1" applyFont="1" applyBorder="1" applyAlignment="1">
      <alignment horizontal="center"/>
    </xf>
    <xf numFmtId="165" fontId="6" fillId="0" borderId="11" xfId="0" applyNumberFormat="1" applyFont="1" applyBorder="1" applyAlignment="1">
      <alignment horizontal="center"/>
    </xf>
    <xf numFmtId="165" fontId="6" fillId="0" borderId="12" xfId="0" applyNumberFormat="1" applyFont="1" applyBorder="1" applyAlignment="1">
      <alignment horizontal="center"/>
    </xf>
    <xf numFmtId="165" fontId="6" fillId="0" borderId="14" xfId="0" applyNumberFormat="1" applyFont="1" applyBorder="1" applyAlignment="1">
      <alignment horizontal="center"/>
    </xf>
    <xf numFmtId="165" fontId="6" fillId="0" borderId="24" xfId="0" applyNumberFormat="1" applyFont="1" applyBorder="1" applyAlignment="1">
      <alignment horizontal="center"/>
    </xf>
    <xf numFmtId="165" fontId="6" fillId="0" borderId="13" xfId="0" applyNumberFormat="1" applyFont="1" applyBorder="1" applyAlignment="1">
      <alignment horizontal="center"/>
    </xf>
    <xf numFmtId="165" fontId="6" fillId="0" borderId="0" xfId="0" applyNumberFormat="1" applyFont="1" applyAlignment="1">
      <alignment horizontal="center"/>
    </xf>
    <xf numFmtId="167" fontId="0" fillId="0" borderId="9" xfId="0" applyNumberFormat="1" applyBorder="1" applyAlignment="1">
      <alignment horizontal="center"/>
    </xf>
    <xf numFmtId="164" fontId="0" fillId="0" borderId="11" xfId="0" applyNumberFormat="1" applyFill="1" applyBorder="1" applyAlignment="1" applyProtection="1">
      <alignment horizontal="center"/>
      <protection locked="0"/>
    </xf>
    <xf numFmtId="164" fontId="0" fillId="0" borderId="12" xfId="0" applyNumberFormat="1" applyFill="1" applyBorder="1" applyAlignment="1" applyProtection="1">
      <alignment horizontal="center"/>
      <protection locked="0"/>
    </xf>
    <xf numFmtId="164" fontId="0" fillId="0" borderId="14" xfId="0" applyNumberFormat="1" applyFill="1" applyBorder="1" applyAlignment="1" applyProtection="1">
      <alignment horizontal="center"/>
      <protection locked="0"/>
    </xf>
    <xf numFmtId="164" fontId="0" fillId="0" borderId="24" xfId="0" applyNumberFormat="1" applyFill="1" applyBorder="1" applyAlignment="1" applyProtection="1">
      <alignment horizontal="center"/>
      <protection locked="0"/>
    </xf>
    <xf numFmtId="164" fontId="0" fillId="0" borderId="13" xfId="0" applyNumberFormat="1" applyFill="1" applyBorder="1" applyAlignment="1" applyProtection="1">
      <alignment horizontal="center"/>
      <protection locked="0"/>
    </xf>
    <xf numFmtId="165" fontId="0" fillId="0" borderId="4" xfId="0" applyNumberFormat="1" applyBorder="1" applyAlignment="1">
      <alignment horizontal="center"/>
    </xf>
    <xf numFmtId="165" fontId="0" fillId="0" borderId="0" xfId="0" applyNumberFormat="1" applyBorder="1" applyAlignment="1">
      <alignment horizontal="center"/>
    </xf>
    <xf numFmtId="165" fontId="0" fillId="0" borderId="9" xfId="0" applyNumberFormat="1" applyBorder="1" applyAlignment="1">
      <alignment horizontal="center"/>
    </xf>
    <xf numFmtId="0" fontId="0" fillId="0" borderId="0" xfId="0" applyBorder="1"/>
    <xf numFmtId="164" fontId="0" fillId="5" borderId="11" xfId="0" applyNumberFormat="1" applyFill="1" applyBorder="1" applyAlignment="1" applyProtection="1">
      <alignment horizontal="center"/>
      <protection locked="0"/>
    </xf>
    <xf numFmtId="164" fontId="0" fillId="5" borderId="12" xfId="0" applyNumberFormat="1" applyFill="1" applyBorder="1" applyAlignment="1" applyProtection="1">
      <alignment horizontal="center"/>
      <protection locked="0"/>
    </xf>
    <xf numFmtId="164" fontId="0" fillId="5" borderId="14" xfId="0" applyNumberFormat="1" applyFill="1" applyBorder="1" applyAlignment="1" applyProtection="1">
      <alignment horizontal="center"/>
      <protection locked="0"/>
    </xf>
    <xf numFmtId="164" fontId="0" fillId="5" borderId="24" xfId="0" applyNumberFormat="1" applyFill="1" applyBorder="1" applyAlignment="1" applyProtection="1">
      <alignment horizontal="center"/>
      <protection locked="0"/>
    </xf>
    <xf numFmtId="164" fontId="0" fillId="5" borderId="13" xfId="0" applyNumberFormat="1" applyFill="1" applyBorder="1" applyAlignment="1" applyProtection="1">
      <alignment horizontal="center"/>
      <protection locked="0"/>
    </xf>
    <xf numFmtId="165" fontId="0" fillId="0" borderId="6" xfId="0" applyNumberFormat="1" applyFill="1" applyBorder="1" applyAlignment="1" applyProtection="1">
      <alignment horizontal="center"/>
      <protection locked="0"/>
    </xf>
    <xf numFmtId="165" fontId="0" fillId="0" borderId="0" xfId="0" applyNumberFormat="1" applyFill="1" applyBorder="1" applyAlignment="1" applyProtection="1">
      <alignment horizontal="center"/>
      <protection locked="0"/>
    </xf>
    <xf numFmtId="165" fontId="0" fillId="0" borderId="15" xfId="0" applyNumberFormat="1" applyFill="1" applyBorder="1" applyAlignment="1" applyProtection="1">
      <alignment horizontal="center"/>
      <protection locked="0"/>
    </xf>
    <xf numFmtId="165" fontId="0" fillId="0" borderId="16" xfId="0" applyNumberFormat="1" applyFill="1" applyBorder="1" applyAlignment="1" applyProtection="1">
      <alignment horizontal="center"/>
      <protection locked="0"/>
    </xf>
    <xf numFmtId="165" fontId="4" fillId="0" borderId="6" xfId="0" applyNumberFormat="1" applyFont="1" applyFill="1" applyBorder="1" applyAlignment="1" applyProtection="1">
      <alignment horizontal="center"/>
      <protection locked="0"/>
    </xf>
    <xf numFmtId="165" fontId="0" fillId="0" borderId="21" xfId="0" applyNumberFormat="1" applyFill="1" applyBorder="1" applyAlignment="1" applyProtection="1">
      <alignment horizontal="center"/>
      <protection locked="0"/>
    </xf>
    <xf numFmtId="165" fontId="0" fillId="0" borderId="22" xfId="0" applyNumberFormat="1" applyFill="1" applyBorder="1" applyAlignment="1" applyProtection="1">
      <alignment horizontal="center"/>
      <protection locked="0"/>
    </xf>
    <xf numFmtId="165" fontId="4" fillId="0" borderId="0" xfId="0" applyNumberFormat="1" applyFont="1" applyFill="1" applyBorder="1" applyAlignment="1" applyProtection="1">
      <alignment horizontal="center"/>
      <protection locked="0"/>
    </xf>
    <xf numFmtId="165" fontId="0" fillId="0" borderId="8" xfId="0" applyNumberFormat="1" applyFill="1" applyBorder="1" applyAlignment="1" applyProtection="1">
      <alignment horizontal="center"/>
      <protection locked="0"/>
    </xf>
    <xf numFmtId="165" fontId="0" fillId="0" borderId="9" xfId="0" applyNumberFormat="1" applyFill="1" applyBorder="1" applyAlignment="1" applyProtection="1">
      <alignment horizontal="center"/>
      <protection locked="0"/>
    </xf>
    <xf numFmtId="165" fontId="4" fillId="0" borderId="11" xfId="0" applyNumberFormat="1" applyFont="1" applyFill="1" applyBorder="1" applyAlignment="1">
      <alignment horizontal="center"/>
    </xf>
    <xf numFmtId="165" fontId="0" fillId="0" borderId="12" xfId="0" applyNumberFormat="1" applyFill="1" applyBorder="1" applyAlignment="1">
      <alignment horizontal="center"/>
    </xf>
    <xf numFmtId="165" fontId="0" fillId="0" borderId="14" xfId="0" applyNumberFormat="1" applyFill="1" applyBorder="1" applyAlignment="1">
      <alignment horizontal="center"/>
    </xf>
    <xf numFmtId="165" fontId="0" fillId="0" borderId="19" xfId="0" applyNumberFormat="1" applyFill="1" applyBorder="1" applyAlignment="1">
      <alignment horizontal="center"/>
    </xf>
    <xf numFmtId="165" fontId="0" fillId="0" borderId="13" xfId="0" applyNumberFormat="1" applyFill="1" applyBorder="1" applyAlignment="1">
      <alignment horizontal="center"/>
    </xf>
    <xf numFmtId="167" fontId="0" fillId="0" borderId="4" xfId="0" applyNumberFormat="1" applyFill="1" applyBorder="1" applyAlignment="1">
      <alignment horizontal="center"/>
    </xf>
    <xf numFmtId="165" fontId="0" fillId="0" borderId="5" xfId="0" applyNumberFormat="1" applyFill="1" applyBorder="1" applyAlignment="1">
      <alignment horizontal="center"/>
    </xf>
    <xf numFmtId="167" fontId="0" fillId="0" borderId="0" xfId="0" applyNumberFormat="1" applyFill="1" applyBorder="1" applyAlignment="1">
      <alignment horizontal="center"/>
    </xf>
    <xf numFmtId="165" fontId="0" fillId="0" borderId="7" xfId="0" applyNumberFormat="1" applyFill="1" applyBorder="1" applyAlignment="1">
      <alignment horizontal="center"/>
    </xf>
    <xf numFmtId="167" fontId="0" fillId="0" borderId="9" xfId="0" applyNumberFormat="1" applyFill="1" applyBorder="1" applyAlignment="1">
      <alignment horizontal="center"/>
    </xf>
    <xf numFmtId="11" fontId="0" fillId="0" borderId="0" xfId="0" applyNumberFormat="1" applyAlignment="1">
      <alignment horizontal="center"/>
    </xf>
    <xf numFmtId="165" fontId="0" fillId="5" borderId="9" xfId="0" applyNumberFormat="1" applyFill="1" applyBorder="1" applyAlignment="1" applyProtection="1">
      <alignment horizontal="center"/>
      <protection locked="0"/>
    </xf>
    <xf numFmtId="165" fontId="1" fillId="0" borderId="3" xfId="0" applyNumberFormat="1" applyFont="1" applyBorder="1" applyAlignment="1">
      <alignment horizontal="center"/>
    </xf>
    <xf numFmtId="165" fontId="1" fillId="0" borderId="4" xfId="0" applyNumberFormat="1" applyFont="1" applyBorder="1" applyAlignment="1">
      <alignment horizontal="center"/>
    </xf>
    <xf numFmtId="165" fontId="1" fillId="0" borderId="5" xfId="0" applyNumberFormat="1"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cellXfs>
  <cellStyles count="1">
    <cellStyle name="Normal" xfId="0" builtinId="0"/>
  </cellStyles>
  <dxfs count="1">
    <dxf>
      <fill>
        <patternFill>
          <bgColor rgb="FFFF5367"/>
        </patternFill>
      </fill>
    </dxf>
  </dxfs>
  <tableStyles count="0" defaultTableStyle="TableStyleMedium2" defaultPivotStyle="PivotStyleLight16"/>
  <colors>
    <mruColors>
      <color rgb="FFFF536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089129483814524"/>
          <c:y val="5.1400554097404488E-2"/>
          <c:w val="0.56335870516185482"/>
          <c:h val="0.73444808982210552"/>
        </c:manualLayout>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dispRSqr val="1"/>
            <c:dispEq val="1"/>
            <c:trendlineLbl>
              <c:layout>
                <c:manualLayout>
                  <c:x val="-0.2675557742782152"/>
                  <c:y val="7.7204508150703358E-2"/>
                </c:manualLayout>
              </c:layout>
              <c:numFmt formatCode="General" sourceLinked="0"/>
            </c:trendlineLbl>
          </c:trendline>
          <c:xVal>
            <c:numRef>
              <c:f>StandardsA!$C$4:$C$12</c:f>
              <c:numCache>
                <c:formatCode>0.000</c:formatCode>
                <c:ptCount val="9"/>
                <c:pt idx="0">
                  <c:v>0.995</c:v>
                </c:pt>
                <c:pt idx="1">
                  <c:v>0.995</c:v>
                </c:pt>
                <c:pt idx="3">
                  <c:v>2.1949999999999998</c:v>
                </c:pt>
                <c:pt idx="4">
                  <c:v>2.1949999999999998</c:v>
                </c:pt>
                <c:pt idx="6">
                  <c:v>9.9469999999999992</c:v>
                </c:pt>
                <c:pt idx="7">
                  <c:v>9.9469999999999992</c:v>
                </c:pt>
              </c:numCache>
            </c:numRef>
          </c:xVal>
          <c:yVal>
            <c:numRef>
              <c:f>StandardsA!$E$4:$E$12</c:f>
              <c:numCache>
                <c:formatCode>0.000</c:formatCode>
                <c:ptCount val="9"/>
              </c:numCache>
            </c:numRef>
          </c:yVal>
          <c:smooth val="0"/>
        </c:ser>
        <c:dLbls>
          <c:showLegendKey val="0"/>
          <c:showVal val="0"/>
          <c:showCatName val="0"/>
          <c:showSerName val="0"/>
          <c:showPercent val="0"/>
          <c:showBubbleSize val="0"/>
        </c:dLbls>
        <c:axId val="41626624"/>
        <c:axId val="41667200"/>
      </c:scatterChart>
      <c:valAx>
        <c:axId val="41626624"/>
        <c:scaling>
          <c:orientation val="minMax"/>
          <c:max val="10"/>
          <c:min val="0"/>
        </c:scaling>
        <c:delete val="0"/>
        <c:axPos val="b"/>
        <c:title>
          <c:tx>
            <c:rich>
              <a:bodyPr/>
              <a:lstStyle/>
              <a:p>
                <a:pPr>
                  <a:defRPr/>
                </a:pPr>
                <a:r>
                  <a:rPr lang="en-US"/>
                  <a:t>Conc.</a:t>
                </a:r>
                <a:r>
                  <a:rPr lang="en-US" baseline="0"/>
                  <a:t> standard (ppm)</a:t>
                </a:r>
                <a:endParaRPr lang="en-US"/>
              </a:p>
            </c:rich>
          </c:tx>
          <c:layout/>
          <c:overlay val="0"/>
        </c:title>
        <c:numFmt formatCode="0" sourceLinked="0"/>
        <c:majorTickMark val="out"/>
        <c:minorTickMark val="none"/>
        <c:tickLblPos val="nextTo"/>
        <c:crossAx val="41667200"/>
        <c:crosses val="autoZero"/>
        <c:crossBetween val="midCat"/>
        <c:majorUnit val="2"/>
      </c:valAx>
      <c:valAx>
        <c:axId val="41667200"/>
        <c:scaling>
          <c:orientation val="minMax"/>
          <c:max val="10"/>
          <c:min val="0"/>
        </c:scaling>
        <c:delete val="0"/>
        <c:axPos val="l"/>
        <c:title>
          <c:tx>
            <c:rich>
              <a:bodyPr rot="-5400000" vert="horz"/>
              <a:lstStyle/>
              <a:p>
                <a:pPr>
                  <a:defRPr/>
                </a:pPr>
                <a:r>
                  <a:rPr lang="en-US"/>
                  <a:t>Conc.</a:t>
                </a:r>
                <a:r>
                  <a:rPr lang="en-US" baseline="0"/>
                  <a:t> measured (ppm)</a:t>
                </a:r>
                <a:endParaRPr lang="en-US"/>
              </a:p>
            </c:rich>
          </c:tx>
          <c:layout/>
          <c:overlay val="0"/>
        </c:title>
        <c:numFmt formatCode="0" sourceLinked="0"/>
        <c:majorTickMark val="out"/>
        <c:minorTickMark val="none"/>
        <c:tickLblPos val="nextTo"/>
        <c:crossAx val="41626624"/>
        <c:crosses val="autoZero"/>
        <c:crossBetween val="midCat"/>
        <c:majorUnit val="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a:solidFill>
                  <a:srgbClr val="FF0000"/>
                </a:solidFill>
              </a:ln>
            </c:spPr>
          </c:marker>
          <c:xVal>
            <c:numRef>
              <c:f>Fluxes!$X$4:$X$19</c:f>
              <c:numCache>
                <c:formatCode>0.000</c:formatCode>
                <c:ptCount val="16"/>
                <c:pt idx="0">
                  <c:v>-4.2265379108024831E-2</c:v>
                </c:pt>
                <c:pt idx="1">
                  <c:v>0.14233468101348509</c:v>
                </c:pt>
                <c:pt idx="2">
                  <c:v>-4.7518910665968549E-2</c:v>
                </c:pt>
                <c:pt idx="3">
                  <c:v>1.4604111090518661E-2</c:v>
                </c:pt>
                <c:pt idx="4">
                  <c:v>-5.5846118061734097E-2</c:v>
                </c:pt>
                <c:pt idx="5">
                  <c:v>-7.1684770173312082E-2</c:v>
                </c:pt>
                <c:pt idx="6">
                  <c:v>-4.2223521912152152E-2</c:v>
                </c:pt>
                <c:pt idx="7">
                  <c:v>-3.0671732813415498E-2</c:v>
                </c:pt>
                <c:pt idx="8">
                  <c:v>-3.1388550145918598E-2</c:v>
                </c:pt>
                <c:pt idx="9">
                  <c:v>-1.4159101416247226E-2</c:v>
                </c:pt>
                <c:pt idx="10">
                  <c:v>-2.2474067136552912E-2</c:v>
                </c:pt>
                <c:pt idx="11">
                  <c:v>-4.7951660890660018E-2</c:v>
                </c:pt>
                <c:pt idx="12">
                  <c:v>-0.13488977103987057</c:v>
                </c:pt>
                <c:pt idx="13">
                  <c:v>-5.5597115750638679E-2</c:v>
                </c:pt>
                <c:pt idx="14">
                  <c:v>-4.314912444009434E-2</c:v>
                </c:pt>
                <c:pt idx="15">
                  <c:v>-7.7674917593869214E-2</c:v>
                </c:pt>
              </c:numCache>
            </c:numRef>
          </c:xVal>
          <c:yVal>
            <c:numRef>
              <c:f>Fluxes!$T$4:$T$19</c:f>
              <c:numCache>
                <c:formatCode>0.000</c:formatCode>
                <c:ptCount val="16"/>
                <c:pt idx="0">
                  <c:v>-1.0167306234394357E-2</c:v>
                </c:pt>
                <c:pt idx="1">
                  <c:v>-4.7477028980787289E-3</c:v>
                </c:pt>
                <c:pt idx="2">
                  <c:v>-3.4971344623012247E-2</c:v>
                </c:pt>
                <c:pt idx="3">
                  <c:v>-1.6029362464050603E-3</c:v>
                </c:pt>
                <c:pt idx="4">
                  <c:v>-3.1620891799216427E-2</c:v>
                </c:pt>
                <c:pt idx="5">
                  <c:v>-1.3656492619326201E-2</c:v>
                </c:pt>
                <c:pt idx="6">
                  <c:v>2.7083921193724669E-2</c:v>
                </c:pt>
                <c:pt idx="7">
                  <c:v>1.0018351540031584E-2</c:v>
                </c:pt>
                <c:pt idx="8">
                  <c:v>-2.312443761334286E-2</c:v>
                </c:pt>
                <c:pt idx="9">
                  <c:v>-4.2302413463916069E-2</c:v>
                </c:pt>
                <c:pt idx="10">
                  <c:v>-6.7432257606001933E-3</c:v>
                </c:pt>
                <c:pt idx="11">
                  <c:v>-3.2331492603506456E-2</c:v>
                </c:pt>
                <c:pt idx="12">
                  <c:v>-1.19609160069015E-2</c:v>
                </c:pt>
                <c:pt idx="13">
                  <c:v>-5.4300968550144643E-2</c:v>
                </c:pt>
                <c:pt idx="14">
                  <c:v>-1.3404495470786912E-2</c:v>
                </c:pt>
                <c:pt idx="15">
                  <c:v>-6.5601858613438591E-2</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40812059719054383"/>
                  <c:y val="0.23470828547854591"/>
                </c:manualLayout>
              </c:layout>
              <c:numFmt formatCode="General" sourceLinked="0"/>
            </c:trendlineLbl>
          </c:trendline>
          <c:xVal>
            <c:numRef>
              <c:f>Fluxes!$X$20:$X$35</c:f>
              <c:numCache>
                <c:formatCode>0.000</c:formatCode>
                <c:ptCount val="16"/>
                <c:pt idx="0">
                  <c:v>-1.5084319506773761E-2</c:v>
                </c:pt>
                <c:pt idx="1">
                  <c:v>-1.1040463630321878E-2</c:v>
                </c:pt>
                <c:pt idx="2">
                  <c:v>4.5460732595442891E-3</c:v>
                </c:pt>
                <c:pt idx="3">
                  <c:v>-5.2878074452473792E-2</c:v>
                </c:pt>
                <c:pt idx="4">
                  <c:v>-9.3266000885718292E-2</c:v>
                </c:pt>
                <c:pt idx="5">
                  <c:v>-1.7266098266834496E-2</c:v>
                </c:pt>
                <c:pt idx="6">
                  <c:v>-8.283036267269453E-2</c:v>
                </c:pt>
                <c:pt idx="7">
                  <c:v>-5.1664429650274575E-2</c:v>
                </c:pt>
                <c:pt idx="8">
                  <c:v>-8.0456197847804597E-2</c:v>
                </c:pt>
                <c:pt idx="9">
                  <c:v>-4.5575293405214212E-2</c:v>
                </c:pt>
                <c:pt idx="10">
                  <c:v>-8.5430837290603079E-2</c:v>
                </c:pt>
                <c:pt idx="11">
                  <c:v>-3.7141889757958146E-3</c:v>
                </c:pt>
                <c:pt idx="12">
                  <c:v>-4.6668624630766847E-2</c:v>
                </c:pt>
                <c:pt idx="13">
                  <c:v>-5.7254827373186691E-2</c:v>
                </c:pt>
                <c:pt idx="14">
                  <c:v>-3.5665554575143914E-2</c:v>
                </c:pt>
                <c:pt idx="15">
                  <c:v>-5.4997095137436806E-3</c:v>
                </c:pt>
              </c:numCache>
            </c:numRef>
          </c:xVal>
          <c:yVal>
            <c:numRef>
              <c:f>Fluxes!$T$20:$T$35</c:f>
              <c:numCache>
                <c:formatCode>0.000</c:formatCode>
                <c:ptCount val="16"/>
                <c:pt idx="0">
                  <c:v>-1.0071855977396625E-2</c:v>
                </c:pt>
                <c:pt idx="1">
                  <c:v>-1.09972904167939E-2</c:v>
                </c:pt>
                <c:pt idx="2">
                  <c:v>1.1622333836900272E-2</c:v>
                </c:pt>
                <c:pt idx="3">
                  <c:v>-6.5768427270091273E-2</c:v>
                </c:pt>
                <c:pt idx="4">
                  <c:v>-1.5184147854330227E-2</c:v>
                </c:pt>
                <c:pt idx="5">
                  <c:v>2.0049525529559609E-3</c:v>
                </c:pt>
                <c:pt idx="6">
                  <c:v>-1.3992930625767265E-2</c:v>
                </c:pt>
                <c:pt idx="7">
                  <c:v>-1.3480396176642692E-2</c:v>
                </c:pt>
                <c:pt idx="8">
                  <c:v>2.6121642294715283E-3</c:v>
                </c:pt>
                <c:pt idx="9">
                  <c:v>-4.1892397017362734E-2</c:v>
                </c:pt>
                <c:pt idx="10">
                  <c:v>-6.9319704277397476E-2</c:v>
                </c:pt>
                <c:pt idx="11">
                  <c:v>-0.10312553466314289</c:v>
                </c:pt>
                <c:pt idx="12">
                  <c:v>-3.1855676898619574E-2</c:v>
                </c:pt>
                <c:pt idx="13">
                  <c:v>8.7161161601448222E-3</c:v>
                </c:pt>
                <c:pt idx="14">
                  <c:v>-5.628518740260529E-2</c:v>
                </c:pt>
                <c:pt idx="15">
                  <c:v>-3.650147228198905E-2</c:v>
                </c:pt>
              </c:numCache>
            </c:numRef>
          </c:yVal>
          <c:smooth val="0"/>
        </c:ser>
        <c:ser>
          <c:idx val="2"/>
          <c:order val="2"/>
          <c:tx>
            <c:v>OTHER</c:v>
          </c:tx>
          <c:spPr>
            <a:ln w="28575">
              <a:noFill/>
            </a:ln>
          </c:spPr>
          <c:xVal>
            <c:numRef>
              <c:f>Fluxes!$X$36:$X$43</c:f>
              <c:numCache>
                <c:formatCode>0.000</c:formatCode>
                <c:ptCount val="8"/>
                <c:pt idx="0">
                  <c:v>-3.2350785692303492E-2</c:v>
                </c:pt>
                <c:pt idx="1">
                  <c:v>-1.6209568284998629E-2</c:v>
                </c:pt>
                <c:pt idx="2">
                  <c:v>-1.3193460631217638E-2</c:v>
                </c:pt>
                <c:pt idx="3">
                  <c:v>5.5637336102851197E-3</c:v>
                </c:pt>
                <c:pt idx="4">
                  <c:v>-1.621946666069855E-2</c:v>
                </c:pt>
                <c:pt idx="5">
                  <c:v>-2.4202972025880679E-2</c:v>
                </c:pt>
                <c:pt idx="6">
                  <c:v>-9.0309020731252528E-3</c:v>
                </c:pt>
                <c:pt idx="7">
                  <c:v>-9.7554350404654797E-3</c:v>
                </c:pt>
              </c:numCache>
            </c:numRef>
          </c:xVal>
          <c:yVal>
            <c:numRef>
              <c:f>Fluxes!$T$36:$T$43</c:f>
              <c:numCache>
                <c:formatCode>0.000</c:formatCode>
                <c:ptCount val="8"/>
                <c:pt idx="0">
                  <c:v>-7.9221991545640455E-2</c:v>
                </c:pt>
                <c:pt idx="1">
                  <c:v>-6.0650089255192635E-2</c:v>
                </c:pt>
                <c:pt idx="2">
                  <c:v>-3.6412684680488139E-2</c:v>
                </c:pt>
                <c:pt idx="3">
                  <c:v>-1.0514836499265302E-2</c:v>
                </c:pt>
                <c:pt idx="4">
                  <c:v>1.5599639954280122E-2</c:v>
                </c:pt>
                <c:pt idx="5">
                  <c:v>-2.7686632791488738E-2</c:v>
                </c:pt>
                <c:pt idx="6">
                  <c:v>3.0368314121845701E-3</c:v>
                </c:pt>
                <c:pt idx="7">
                  <c:v>-6.859118284051279E-3</c:v>
                </c:pt>
              </c:numCache>
            </c:numRef>
          </c:yVal>
          <c:smooth val="0"/>
        </c:ser>
        <c:dLbls>
          <c:showLegendKey val="0"/>
          <c:showVal val="0"/>
          <c:showCatName val="0"/>
          <c:showSerName val="0"/>
          <c:showPercent val="0"/>
          <c:showBubbleSize val="0"/>
        </c:dLbls>
        <c:axId val="52630656"/>
        <c:axId val="52686848"/>
      </c:scatterChart>
      <c:valAx>
        <c:axId val="52630656"/>
        <c:scaling>
          <c:orientation val="maxMin"/>
          <c:max val="0.15000000000000002"/>
          <c:min val="-0.15000000000000002"/>
        </c:scaling>
        <c:delete val="0"/>
        <c:axPos val="b"/>
        <c:title>
          <c:tx>
            <c:rich>
              <a:bodyPr/>
              <a:lstStyle/>
              <a:p>
                <a:pPr>
                  <a:defRPr/>
                </a:pPr>
                <a:r>
                  <a:rPr lang="en-US"/>
                  <a:t>CH4 flux May</a:t>
                </a:r>
                <a:r>
                  <a:rPr lang="en-US" baseline="0"/>
                  <a:t> (umol.m-2.min-1)</a:t>
                </a:r>
                <a:endParaRPr lang="en-US"/>
              </a:p>
            </c:rich>
          </c:tx>
          <c:layout/>
          <c:overlay val="0"/>
        </c:title>
        <c:numFmt formatCode="#,##0.00" sourceLinked="0"/>
        <c:majorTickMark val="out"/>
        <c:minorTickMark val="none"/>
        <c:tickLblPos val="nextTo"/>
        <c:crossAx val="52686848"/>
        <c:crosses val="max"/>
        <c:crossBetween val="midCat"/>
        <c:majorUnit val="5.000000000000001E-2"/>
        <c:minorUnit val="1.0000000000000002E-2"/>
      </c:valAx>
      <c:valAx>
        <c:axId val="52686848"/>
        <c:scaling>
          <c:orientation val="maxMin"/>
          <c:max val="0.1"/>
          <c:min val="-0.1"/>
        </c:scaling>
        <c:delete val="0"/>
        <c:axPos val="l"/>
        <c:title>
          <c:tx>
            <c:rich>
              <a:bodyPr rot="-5400000" vert="horz"/>
              <a:lstStyle/>
              <a:p>
                <a:pPr>
                  <a:defRPr/>
                </a:pPr>
                <a:r>
                  <a:rPr lang="en-US" sz="1000" b="1" i="0" u="none" strike="noStrike" baseline="0">
                    <a:effectLst/>
                  </a:rPr>
                  <a:t>CH4 flux Sep (umol.m-2.min-1)</a:t>
                </a:r>
                <a:endParaRPr lang="en-US"/>
              </a:p>
            </c:rich>
          </c:tx>
          <c:layout/>
          <c:overlay val="0"/>
        </c:title>
        <c:numFmt formatCode="0.00" sourceLinked="0"/>
        <c:majorTickMark val="out"/>
        <c:minorTickMark val="none"/>
        <c:tickLblPos val="nextTo"/>
        <c:crossAx val="52630656"/>
        <c:crosses val="max"/>
        <c:crossBetween val="midCat"/>
        <c:majorUnit val="5.000000000000001E-2"/>
        <c:minorUnit val="1.0000000000000002E-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w="9525">
                <a:solidFill>
                  <a:srgbClr val="FF0000"/>
                </a:solidFill>
              </a:ln>
            </c:spPr>
          </c:marker>
          <c:trendline>
            <c:spPr>
              <a:ln>
                <a:solidFill>
                  <a:srgbClr val="FF0000"/>
                </a:solidFill>
              </a:ln>
            </c:spPr>
            <c:trendlineType val="linear"/>
            <c:dispRSqr val="1"/>
            <c:dispEq val="1"/>
            <c:trendlineLbl>
              <c:layout>
                <c:manualLayout>
                  <c:x val="-0.22782586552456133"/>
                  <c:y val="0.2856832247182125"/>
                </c:manualLayout>
              </c:layout>
              <c:numFmt formatCode="General" sourceLinked="0"/>
            </c:trendlineLbl>
          </c:trendline>
          <c:xVal>
            <c:numRef>
              <c:f>Fluxes!$S$4:$S$19</c:f>
              <c:numCache>
                <c:formatCode>0.0</c:formatCode>
                <c:ptCount val="16"/>
                <c:pt idx="0">
                  <c:v>52.5</c:v>
                </c:pt>
                <c:pt idx="1">
                  <c:v>43.9</c:v>
                </c:pt>
                <c:pt idx="2">
                  <c:v>52.2</c:v>
                </c:pt>
                <c:pt idx="3">
                  <c:v>50.7</c:v>
                </c:pt>
                <c:pt idx="4">
                  <c:v>47.3</c:v>
                </c:pt>
                <c:pt idx="5">
                  <c:v>49.9</c:v>
                </c:pt>
                <c:pt idx="6">
                  <c:v>45.5</c:v>
                </c:pt>
                <c:pt idx="7">
                  <c:v>43.9</c:v>
                </c:pt>
                <c:pt idx="8">
                  <c:v>49.7</c:v>
                </c:pt>
                <c:pt idx="9">
                  <c:v>49.8</c:v>
                </c:pt>
                <c:pt idx="10">
                  <c:v>34.4</c:v>
                </c:pt>
                <c:pt idx="11">
                  <c:v>43.8</c:v>
                </c:pt>
                <c:pt idx="12">
                  <c:v>51.4</c:v>
                </c:pt>
                <c:pt idx="13">
                  <c:v>44.2</c:v>
                </c:pt>
                <c:pt idx="14">
                  <c:v>49.7</c:v>
                </c:pt>
                <c:pt idx="15">
                  <c:v>44.5</c:v>
                </c:pt>
              </c:numCache>
            </c:numRef>
          </c:xVal>
          <c:yVal>
            <c:numRef>
              <c:f>Fluxes!$T$4:$T$19</c:f>
              <c:numCache>
                <c:formatCode>0.000</c:formatCode>
                <c:ptCount val="16"/>
                <c:pt idx="0">
                  <c:v>-1.0167306234394357E-2</c:v>
                </c:pt>
                <c:pt idx="1">
                  <c:v>-4.7477028980787289E-3</c:v>
                </c:pt>
                <c:pt idx="2">
                  <c:v>-3.4971344623012247E-2</c:v>
                </c:pt>
                <c:pt idx="3">
                  <c:v>-1.6029362464050603E-3</c:v>
                </c:pt>
                <c:pt idx="4">
                  <c:v>-3.1620891799216427E-2</c:v>
                </c:pt>
                <c:pt idx="5">
                  <c:v>-1.3656492619326201E-2</c:v>
                </c:pt>
                <c:pt idx="6">
                  <c:v>2.7083921193724669E-2</c:v>
                </c:pt>
                <c:pt idx="7">
                  <c:v>1.0018351540031584E-2</c:v>
                </c:pt>
                <c:pt idx="8">
                  <c:v>-2.312443761334286E-2</c:v>
                </c:pt>
                <c:pt idx="9">
                  <c:v>-4.2302413463916069E-2</c:v>
                </c:pt>
                <c:pt idx="10">
                  <c:v>-6.7432257606001933E-3</c:v>
                </c:pt>
                <c:pt idx="11">
                  <c:v>-3.2331492603506456E-2</c:v>
                </c:pt>
                <c:pt idx="12">
                  <c:v>-1.19609160069015E-2</c:v>
                </c:pt>
                <c:pt idx="13">
                  <c:v>-5.4300968550144643E-2</c:v>
                </c:pt>
                <c:pt idx="14">
                  <c:v>-1.3404495470786912E-2</c:v>
                </c:pt>
                <c:pt idx="15">
                  <c:v>-6.5601858613438591E-2</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22336208353730685"/>
                  <c:y val="0.18493120124270965"/>
                </c:manualLayout>
              </c:layout>
              <c:numFmt formatCode="General" sourceLinked="0"/>
            </c:trendlineLbl>
          </c:trendline>
          <c:xVal>
            <c:numRef>
              <c:f>Fluxes!$S$20:$S$35</c:f>
              <c:numCache>
                <c:formatCode>0.0</c:formatCode>
                <c:ptCount val="16"/>
                <c:pt idx="0">
                  <c:v>48</c:v>
                </c:pt>
                <c:pt idx="1">
                  <c:v>37.4</c:v>
                </c:pt>
                <c:pt idx="2">
                  <c:v>47.6</c:v>
                </c:pt>
                <c:pt idx="3">
                  <c:v>38.5</c:v>
                </c:pt>
                <c:pt idx="4">
                  <c:v>41.8</c:v>
                </c:pt>
                <c:pt idx="5">
                  <c:v>45.2</c:v>
                </c:pt>
                <c:pt idx="6">
                  <c:v>49.6</c:v>
                </c:pt>
                <c:pt idx="7">
                  <c:v>44.5</c:v>
                </c:pt>
                <c:pt idx="8">
                  <c:v>35</c:v>
                </c:pt>
                <c:pt idx="9">
                  <c:v>34.1</c:v>
                </c:pt>
                <c:pt idx="10">
                  <c:v>30.4</c:v>
                </c:pt>
                <c:pt idx="11">
                  <c:v>20.399999999999999</c:v>
                </c:pt>
                <c:pt idx="12">
                  <c:v>29.3</c:v>
                </c:pt>
                <c:pt idx="13">
                  <c:v>47.8</c:v>
                </c:pt>
                <c:pt idx="14">
                  <c:v>43.2</c:v>
                </c:pt>
                <c:pt idx="15">
                  <c:v>49.5</c:v>
                </c:pt>
              </c:numCache>
            </c:numRef>
          </c:xVal>
          <c:yVal>
            <c:numRef>
              <c:f>Fluxes!$T$20:$T$35</c:f>
              <c:numCache>
                <c:formatCode>0.000</c:formatCode>
                <c:ptCount val="16"/>
                <c:pt idx="0">
                  <c:v>-1.0071855977396625E-2</c:v>
                </c:pt>
                <c:pt idx="1">
                  <c:v>-1.09972904167939E-2</c:v>
                </c:pt>
                <c:pt idx="2">
                  <c:v>1.1622333836900272E-2</c:v>
                </c:pt>
                <c:pt idx="3">
                  <c:v>-6.5768427270091273E-2</c:v>
                </c:pt>
                <c:pt idx="4">
                  <c:v>-1.5184147854330227E-2</c:v>
                </c:pt>
                <c:pt idx="5">
                  <c:v>2.0049525529559609E-3</c:v>
                </c:pt>
                <c:pt idx="6">
                  <c:v>-1.3992930625767265E-2</c:v>
                </c:pt>
                <c:pt idx="7">
                  <c:v>-1.3480396176642692E-2</c:v>
                </c:pt>
                <c:pt idx="8">
                  <c:v>2.6121642294715283E-3</c:v>
                </c:pt>
                <c:pt idx="9">
                  <c:v>-4.1892397017362734E-2</c:v>
                </c:pt>
                <c:pt idx="10">
                  <c:v>-6.9319704277397476E-2</c:v>
                </c:pt>
                <c:pt idx="11">
                  <c:v>-0.10312553466314289</c:v>
                </c:pt>
                <c:pt idx="12">
                  <c:v>-3.1855676898619574E-2</c:v>
                </c:pt>
                <c:pt idx="13">
                  <c:v>8.7161161601448222E-3</c:v>
                </c:pt>
                <c:pt idx="14">
                  <c:v>-5.628518740260529E-2</c:v>
                </c:pt>
                <c:pt idx="15">
                  <c:v>-3.650147228198905E-2</c:v>
                </c:pt>
              </c:numCache>
            </c:numRef>
          </c:yVal>
          <c:smooth val="0"/>
        </c:ser>
        <c:ser>
          <c:idx val="2"/>
          <c:order val="2"/>
          <c:tx>
            <c:v>OTHER</c:v>
          </c:tx>
          <c:spPr>
            <a:ln w="28575">
              <a:noFill/>
            </a:ln>
          </c:spPr>
          <c:xVal>
            <c:numRef>
              <c:f>Fluxes!$S$36:$S$43</c:f>
              <c:numCache>
                <c:formatCode>0.0</c:formatCode>
                <c:ptCount val="8"/>
                <c:pt idx="0">
                  <c:v>27.5</c:v>
                </c:pt>
                <c:pt idx="1">
                  <c:v>35.6</c:v>
                </c:pt>
                <c:pt idx="2">
                  <c:v>39.5</c:v>
                </c:pt>
                <c:pt idx="3">
                  <c:v>38.799999999999997</c:v>
                </c:pt>
                <c:pt idx="4">
                  <c:v>51.9</c:v>
                </c:pt>
                <c:pt idx="5">
                  <c:v>50.9</c:v>
                </c:pt>
                <c:pt idx="6">
                  <c:v>50.3</c:v>
                </c:pt>
                <c:pt idx="7">
                  <c:v>50.3</c:v>
                </c:pt>
              </c:numCache>
            </c:numRef>
          </c:xVal>
          <c:yVal>
            <c:numRef>
              <c:f>Fluxes!$T$36:$T$43</c:f>
              <c:numCache>
                <c:formatCode>0.000</c:formatCode>
                <c:ptCount val="8"/>
                <c:pt idx="0">
                  <c:v>-7.9221991545640455E-2</c:v>
                </c:pt>
                <c:pt idx="1">
                  <c:v>-6.0650089255192635E-2</c:v>
                </c:pt>
                <c:pt idx="2">
                  <c:v>-3.6412684680488139E-2</c:v>
                </c:pt>
                <c:pt idx="3">
                  <c:v>-1.0514836499265302E-2</c:v>
                </c:pt>
                <c:pt idx="4">
                  <c:v>1.5599639954280122E-2</c:v>
                </c:pt>
                <c:pt idx="5">
                  <c:v>-2.7686632791488738E-2</c:v>
                </c:pt>
                <c:pt idx="6">
                  <c:v>3.0368314121845701E-3</c:v>
                </c:pt>
                <c:pt idx="7">
                  <c:v>-6.859118284051279E-3</c:v>
                </c:pt>
              </c:numCache>
            </c:numRef>
          </c:yVal>
          <c:smooth val="0"/>
        </c:ser>
        <c:dLbls>
          <c:showLegendKey val="0"/>
          <c:showVal val="0"/>
          <c:showCatName val="0"/>
          <c:showSerName val="0"/>
          <c:showPercent val="0"/>
          <c:showBubbleSize val="0"/>
        </c:dLbls>
        <c:axId val="87304448"/>
        <c:axId val="87347968"/>
      </c:scatterChart>
      <c:valAx>
        <c:axId val="87304448"/>
        <c:scaling>
          <c:orientation val="minMax"/>
          <c:max val="65"/>
          <c:min val="15"/>
        </c:scaling>
        <c:delete val="0"/>
        <c:axPos val="b"/>
        <c:title>
          <c:tx>
            <c:rich>
              <a:bodyPr/>
              <a:lstStyle/>
              <a:p>
                <a:pPr>
                  <a:defRPr/>
                </a:pPr>
                <a:r>
                  <a:rPr lang="en-US"/>
                  <a:t>Soil</a:t>
                </a:r>
                <a:r>
                  <a:rPr lang="en-US" baseline="0"/>
                  <a:t> VWC (%)</a:t>
                </a:r>
                <a:endParaRPr lang="en-US"/>
              </a:p>
            </c:rich>
          </c:tx>
          <c:layout/>
          <c:overlay val="0"/>
        </c:title>
        <c:numFmt formatCode="#,##0.00" sourceLinked="0"/>
        <c:majorTickMark val="out"/>
        <c:minorTickMark val="none"/>
        <c:tickLblPos val="nextTo"/>
        <c:crossAx val="87347968"/>
        <c:crosses val="max"/>
        <c:crossBetween val="midCat"/>
        <c:majorUnit val="10"/>
        <c:minorUnit val="1.0000000000000002E-2"/>
      </c:valAx>
      <c:valAx>
        <c:axId val="87347968"/>
        <c:scaling>
          <c:orientation val="maxMin"/>
          <c:max val="0.1"/>
          <c:min val="-0.1"/>
        </c:scaling>
        <c:delete val="0"/>
        <c:axPos val="l"/>
        <c:title>
          <c:tx>
            <c:rich>
              <a:bodyPr rot="-5400000" vert="horz"/>
              <a:lstStyle/>
              <a:p>
                <a:pPr>
                  <a:defRPr/>
                </a:pPr>
                <a:r>
                  <a:rPr lang="en-US" sz="1000" b="1" i="0" u="none" strike="noStrike" baseline="0">
                    <a:effectLst/>
                  </a:rPr>
                  <a:t>CH4 flux July (umol.m-2.min-1)</a:t>
                </a:r>
                <a:endParaRPr lang="en-US"/>
              </a:p>
            </c:rich>
          </c:tx>
          <c:layout/>
          <c:overlay val="0"/>
        </c:title>
        <c:numFmt formatCode="0.00" sourceLinked="0"/>
        <c:majorTickMark val="out"/>
        <c:minorTickMark val="none"/>
        <c:tickLblPos val="nextTo"/>
        <c:crossAx val="87304448"/>
        <c:crosses val="autoZero"/>
        <c:crossBetween val="midCat"/>
        <c:majorUnit val="5.000000000000001E-2"/>
        <c:minorUnit val="1.0000000000000002E-2"/>
      </c:valAx>
    </c:plotArea>
    <c:legend>
      <c:legendPos val="r"/>
      <c:layout>
        <c:manualLayout>
          <c:xMode val="edge"/>
          <c:yMode val="edge"/>
          <c:x val="0.73011241776117208"/>
          <c:y val="3.4785010523134936E-2"/>
          <c:w val="0.23922021017138165"/>
          <c:h val="0.15390146851735342"/>
        </c:manualLayout>
      </c:layout>
      <c:overlay val="1"/>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85725</xdr:rowOff>
    </xdr:from>
    <xdr:to>
      <xdr:col>17</xdr:col>
      <xdr:colOff>323850</xdr:colOff>
      <xdr:row>21</xdr:row>
      <xdr:rowOff>47625</xdr:rowOff>
    </xdr:to>
    <xdr:sp macro="" textlink="">
      <xdr:nvSpPr>
        <xdr:cNvPr id="2" name="TextBox 1"/>
        <xdr:cNvSpPr txBox="1"/>
      </xdr:nvSpPr>
      <xdr:spPr>
        <a:xfrm>
          <a:off x="104775" y="85725"/>
          <a:ext cx="11058525" cy="186690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This worksheet contains a tabsheet to enter CH4 flux data and gaswell CH4 concentration data.</a:t>
          </a:r>
        </a:p>
        <a:p>
          <a:endParaRPr lang="en-US" sz="1100"/>
        </a:p>
        <a:p>
          <a:r>
            <a:rPr lang="en-US" sz="1100"/>
            <a:t>In the CH4 flux tabsheet the user</a:t>
          </a:r>
          <a:r>
            <a:rPr lang="en-US" sz="1100" baseline="0"/>
            <a:t> should enter measured collar heights, times at which gas samples were collected from the chamber and measured CH4 concentrations at each timepoint. Enter air temperature if available (otherwise enter 27 C) and soil temperature and volumetric water content. The first 32 lines of data belong to the RAPID sampling design, the last 8 data lines are measurements associated to two sensor nodes. </a:t>
          </a:r>
        </a:p>
        <a:p>
          <a:endParaRPr lang="en-US" sz="1100" baseline="0"/>
        </a:p>
        <a:p>
          <a:r>
            <a:rPr lang="en-US" sz="1100" baseline="0"/>
            <a:t>The CH4 flux is calculated as  f(CH4 ) </a:t>
          </a:r>
          <a:r>
            <a:rPr lang="en-US" sz="1100">
              <a:solidFill>
                <a:schemeClr val="dk1"/>
              </a:solidFill>
              <a:effectLst/>
              <a:latin typeface="+mn-lt"/>
              <a:ea typeface="+mn-ea"/>
              <a:cs typeface="+mn-cs"/>
            </a:rPr>
            <a:t>= V.P/(R.T.A).dCH4/dt</a:t>
          </a:r>
          <a:endParaRPr lang="en-US">
            <a:effectLst/>
          </a:endParaRP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a:t>with V the total system volume</a:t>
          </a:r>
          <a:r>
            <a:rPr lang="en-US" sz="1100" baseline="0"/>
            <a:t> (cm3) determined as the sum of chamber volume (4288 cm3) and a volume that depends on collar height.  </a:t>
          </a:r>
          <a:r>
            <a:rPr lang="en-US" sz="1100" baseline="0">
              <a:solidFill>
                <a:schemeClr val="dk1"/>
              </a:solidFill>
              <a:effectLst/>
              <a:latin typeface="+mn-lt"/>
              <a:ea typeface="+mn-ea"/>
              <a:cs typeface="+mn-cs"/>
            </a:rPr>
            <a:t>Measured chamber v</a:t>
          </a:r>
          <a:r>
            <a:rPr lang="en-US" sz="1100">
              <a:solidFill>
                <a:schemeClr val="dk1"/>
              </a:solidFill>
              <a:effectLst/>
              <a:latin typeface="+mn-lt"/>
              <a:ea typeface="+mn-ea"/>
              <a:cs typeface="+mn-cs"/>
            </a:rPr>
            <a:t>olumes above the gasket were  4210, 4261, 4352 and 4327 cm3 and the average of 4288 cm3 is used to calculate fluxes. </a:t>
          </a:r>
          <a:r>
            <a:rPr lang="en-US" sz="1100" baseline="0"/>
            <a:t>P denotes the air pressure and is assumed to be 101.325kPa. The universal gas constant is 8.314 J.mol-1.K. The air temperature T (K) is set at 27 degrees centigrade unless data is available. The worksheet takes care to convert centigrade data to Kelvin. A is the area of soil under consideration and equal to 314.16 cm2 based on a 20cm diameter collar. dCH4/dt is the methane build-up rate in ppm.min-1 and is calculated in column O of the tabsheet.  The flux is calculated in mgC.h-1.m-1. The user can change soil area and chamber volume below.</a:t>
          </a:r>
          <a:endParaRPr lang="en-US" sz="1100"/>
        </a:p>
        <a:p>
          <a:endParaRPr lang="en-US" sz="1100"/>
        </a:p>
        <a:p>
          <a:r>
            <a:rPr lang="en-US" sz="1100"/>
            <a:t>The tabsheet concentrations lists CH4 concentrations measured in 32 gaswells on plots that are part of the RAPID sampling design.</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295275</xdr:colOff>
      <xdr:row>0</xdr:row>
      <xdr:rowOff>176211</xdr:rowOff>
    </xdr:from>
    <xdr:to>
      <xdr:col>12</xdr:col>
      <xdr:colOff>600075</xdr:colOff>
      <xdr:row>18</xdr:row>
      <xdr:rowOff>57149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9</xdr:col>
      <xdr:colOff>1</xdr:colOff>
      <xdr:row>1</xdr:row>
      <xdr:rowOff>1</xdr:rowOff>
    </xdr:from>
    <xdr:to>
      <xdr:col>16</xdr:col>
      <xdr:colOff>304800</xdr:colOff>
      <xdr:row>23</xdr:row>
      <xdr:rowOff>44906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xdr:row>
      <xdr:rowOff>0</xdr:rowOff>
    </xdr:from>
    <xdr:to>
      <xdr:col>8</xdr:col>
      <xdr:colOff>304799</xdr:colOff>
      <xdr:row>23</xdr:row>
      <xdr:rowOff>44905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3:D24"/>
  <sheetViews>
    <sheetView workbookViewId="0">
      <selection activeCell="C23" sqref="C23"/>
    </sheetView>
  </sheetViews>
  <sheetFormatPr defaultRowHeight="15" x14ac:dyDescent="0.25"/>
  <cols>
    <col min="2" max="2" width="16.28515625" bestFit="1" customWidth="1"/>
  </cols>
  <sheetData>
    <row r="23" spans="2:4" x14ac:dyDescent="0.25">
      <c r="B23" t="s">
        <v>63</v>
      </c>
      <c r="C23" s="63">
        <v>314.16000000000003</v>
      </c>
      <c r="D23" t="s">
        <v>56</v>
      </c>
    </row>
    <row r="24" spans="2:4" x14ac:dyDescent="0.25">
      <c r="B24" t="s">
        <v>64</v>
      </c>
      <c r="C24" s="63">
        <v>4288</v>
      </c>
      <c r="D24" t="s">
        <v>57</v>
      </c>
    </row>
  </sheetData>
  <sheetProtection sheet="1" objects="1" scenarios="1" select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46"/>
  <sheetViews>
    <sheetView tabSelected="1" zoomScale="70" zoomScaleNormal="70" workbookViewId="0">
      <pane xSplit="1" ySplit="3" topLeftCell="B4" activePane="bottomRight" state="frozen"/>
      <selection pane="topRight" activeCell="B1" sqref="B1"/>
      <selection pane="bottomLeft" activeCell="A4" sqref="A4"/>
      <selection pane="bottomRight" activeCell="V4" sqref="V4:V43"/>
    </sheetView>
  </sheetViews>
  <sheetFormatPr defaultRowHeight="15" x14ac:dyDescent="0.25"/>
  <cols>
    <col min="1" max="1" width="13.5703125" customWidth="1"/>
    <col min="2" max="5" width="6.140625" style="1" customWidth="1"/>
    <col min="6" max="6" width="9.140625" style="9" customWidth="1"/>
    <col min="7" max="10" width="7.7109375" style="1" customWidth="1"/>
    <col min="11" max="11" width="7.7109375" style="8" customWidth="1"/>
    <col min="12" max="12" width="10" style="8" bestFit="1" customWidth="1"/>
    <col min="13" max="14" width="7.7109375" style="8" customWidth="1"/>
    <col min="15" max="15" width="10.7109375" style="19" bestFit="1" customWidth="1"/>
    <col min="16" max="16" width="8.28515625" style="8" bestFit="1" customWidth="1"/>
    <col min="17" max="18" width="7.7109375" style="9" customWidth="1"/>
    <col min="19" max="19" width="12" style="9" bestFit="1" customWidth="1"/>
    <col min="20" max="20" width="21.140625" style="8" bestFit="1" customWidth="1"/>
    <col min="21" max="21" width="18.28515625" style="19" bestFit="1" customWidth="1"/>
    <col min="22" max="22" width="21.140625" bestFit="1" customWidth="1"/>
    <col min="24" max="24" width="21.140625" style="104" bestFit="1" customWidth="1"/>
  </cols>
  <sheetData>
    <row r="1" spans="1:24" s="31" customFormat="1" x14ac:dyDescent="0.25">
      <c r="A1" s="26" t="s">
        <v>0</v>
      </c>
      <c r="B1" s="145" t="s">
        <v>1</v>
      </c>
      <c r="C1" s="146"/>
      <c r="D1" s="146"/>
      <c r="E1" s="147"/>
      <c r="F1" s="27" t="s">
        <v>3</v>
      </c>
      <c r="G1" s="145" t="s">
        <v>7</v>
      </c>
      <c r="H1" s="146"/>
      <c r="I1" s="146"/>
      <c r="J1" s="147"/>
      <c r="K1" s="142" t="s">
        <v>60</v>
      </c>
      <c r="L1" s="143"/>
      <c r="M1" s="143"/>
      <c r="N1" s="144"/>
      <c r="O1" s="28" t="s">
        <v>11</v>
      </c>
      <c r="P1" s="29" t="s">
        <v>54</v>
      </c>
      <c r="Q1" s="27" t="s">
        <v>58</v>
      </c>
      <c r="R1" s="27" t="s">
        <v>65</v>
      </c>
      <c r="S1" s="27" t="s">
        <v>66</v>
      </c>
      <c r="T1" s="29" t="s">
        <v>13</v>
      </c>
      <c r="U1" s="28" t="s">
        <v>13</v>
      </c>
      <c r="V1" s="29" t="s">
        <v>93</v>
      </c>
      <c r="X1" s="96" t="s">
        <v>13</v>
      </c>
    </row>
    <row r="2" spans="1:24" s="31" customFormat="1" x14ac:dyDescent="0.25">
      <c r="B2" s="26">
        <v>1</v>
      </c>
      <c r="C2" s="32">
        <v>2</v>
      </c>
      <c r="D2" s="32">
        <v>3</v>
      </c>
      <c r="E2" s="33">
        <v>4</v>
      </c>
      <c r="F2" s="34"/>
      <c r="G2" s="26" t="s">
        <v>4</v>
      </c>
      <c r="H2" s="32" t="s">
        <v>5</v>
      </c>
      <c r="I2" s="32" t="s">
        <v>6</v>
      </c>
      <c r="J2" s="33" t="s">
        <v>8</v>
      </c>
      <c r="K2" s="35" t="s">
        <v>4</v>
      </c>
      <c r="L2" s="36" t="s">
        <v>5</v>
      </c>
      <c r="M2" s="36" t="s">
        <v>6</v>
      </c>
      <c r="N2" s="37" t="s">
        <v>8</v>
      </c>
      <c r="O2" s="38"/>
      <c r="P2" s="39"/>
      <c r="Q2" s="34"/>
      <c r="R2" s="34"/>
      <c r="S2" s="34"/>
      <c r="T2" s="39"/>
      <c r="U2" s="38"/>
      <c r="V2" s="39"/>
      <c r="X2" s="97" t="s">
        <v>101</v>
      </c>
    </row>
    <row r="3" spans="1:24" s="31" customFormat="1" ht="15.75" thickBot="1" x14ac:dyDescent="0.3">
      <c r="A3" s="40"/>
      <c r="B3" s="41" t="s">
        <v>2</v>
      </c>
      <c r="C3" s="42" t="s">
        <v>2</v>
      </c>
      <c r="D3" s="42" t="s">
        <v>2</v>
      </c>
      <c r="E3" s="43" t="s">
        <v>2</v>
      </c>
      <c r="F3" s="44" t="s">
        <v>61</v>
      </c>
      <c r="G3" s="41" t="s">
        <v>9</v>
      </c>
      <c r="H3" s="42" t="s">
        <v>9</v>
      </c>
      <c r="I3" s="42" t="s">
        <v>9</v>
      </c>
      <c r="J3" s="43" t="s">
        <v>9</v>
      </c>
      <c r="K3" s="45" t="s">
        <v>10</v>
      </c>
      <c r="L3" s="46" t="s">
        <v>10</v>
      </c>
      <c r="M3" s="46" t="s">
        <v>10</v>
      </c>
      <c r="N3" s="47" t="s">
        <v>10</v>
      </c>
      <c r="O3" s="48" t="s">
        <v>12</v>
      </c>
      <c r="P3" s="49" t="s">
        <v>55</v>
      </c>
      <c r="Q3" s="44" t="s">
        <v>59</v>
      </c>
      <c r="R3" s="44" t="s">
        <v>59</v>
      </c>
      <c r="S3" s="44" t="s">
        <v>95</v>
      </c>
      <c r="T3" s="49" t="s">
        <v>92</v>
      </c>
      <c r="U3" s="48" t="s">
        <v>62</v>
      </c>
      <c r="V3" s="49" t="s">
        <v>94</v>
      </c>
      <c r="X3" s="98" t="s">
        <v>92</v>
      </c>
    </row>
    <row r="4" spans="1:24" x14ac:dyDescent="0.25">
      <c r="A4" s="20" t="s">
        <v>14</v>
      </c>
      <c r="B4" s="64">
        <v>63</v>
      </c>
      <c r="C4" s="65">
        <v>71</v>
      </c>
      <c r="D4" s="65">
        <v>68</v>
      </c>
      <c r="E4" s="66">
        <v>67</v>
      </c>
      <c r="F4" s="67">
        <f>(META!C$24+AVERAGE(B4:E4)/10*META!C$23)</f>
        <v>6400.7260000000006</v>
      </c>
      <c r="G4" s="64">
        <v>0</v>
      </c>
      <c r="H4" s="65">
        <v>20</v>
      </c>
      <c r="I4" s="65">
        <v>40</v>
      </c>
      <c r="J4" s="66"/>
      <c r="K4" s="120">
        <v>2.0609999999999999</v>
      </c>
      <c r="L4" s="121">
        <v>1.956</v>
      </c>
      <c r="M4" s="121">
        <v>2.012</v>
      </c>
      <c r="N4" s="68"/>
      <c r="O4" s="16">
        <f t="shared" ref="O4:O35" si="0">SLOPE(K4:N4,G4:J4)</f>
        <v>-1.2249999999999982E-3</v>
      </c>
      <c r="P4" s="7">
        <f t="shared" ref="P4:P35" si="1">RSQ(K4:N4,G4:J4)</f>
        <v>0.21745562130177459</v>
      </c>
      <c r="Q4" s="115">
        <v>26</v>
      </c>
      <c r="R4" s="106"/>
      <c r="S4" s="106">
        <v>52.5</v>
      </c>
      <c r="T4" s="7">
        <f>O4*F4*101.325/8.3145/META!C$23/(273.15+Fluxes!Q4)*10</f>
        <v>-1.0167306234394357E-2</v>
      </c>
      <c r="U4" s="16">
        <f>T4/1000*12*60</f>
        <v>-7.3204604887639373E-3</v>
      </c>
      <c r="V4" s="89">
        <v>4.6112565943828523</v>
      </c>
      <c r="X4" s="99">
        <v>-4.2265379108024831E-2</v>
      </c>
    </row>
    <row r="5" spans="1:24" x14ac:dyDescent="0.25">
      <c r="A5" s="21" t="s">
        <v>15</v>
      </c>
      <c r="B5" s="69">
        <v>63</v>
      </c>
      <c r="C5" s="70">
        <v>49</v>
      </c>
      <c r="D5" s="70">
        <v>59</v>
      </c>
      <c r="E5" s="71">
        <v>60</v>
      </c>
      <c r="F5" s="72">
        <f>(META!C$24+AVERAGE(B5:E5)/10*META!C$23)</f>
        <v>6102.2740000000003</v>
      </c>
      <c r="G5" s="69">
        <v>0</v>
      </c>
      <c r="H5" s="70">
        <v>20</v>
      </c>
      <c r="I5" s="70">
        <v>40</v>
      </c>
      <c r="J5" s="71"/>
      <c r="K5" s="120">
        <v>2.0499999999999998</v>
      </c>
      <c r="L5" s="121">
        <v>1.964</v>
      </c>
      <c r="M5" s="121">
        <v>2.0259999999999998</v>
      </c>
      <c r="N5" s="73"/>
      <c r="O5" s="17">
        <f t="shared" si="0"/>
        <v>-6.0000000000000049E-4</v>
      </c>
      <c r="P5" s="5">
        <f t="shared" si="1"/>
        <v>7.3121191604604341E-2</v>
      </c>
      <c r="Q5" s="116">
        <v>26</v>
      </c>
      <c r="R5" s="107"/>
      <c r="S5" s="107">
        <v>43.9</v>
      </c>
      <c r="T5" s="5">
        <f>O5*F5*101.325/8.3145/META!C$23/(273.15+Fluxes!Q5)*10</f>
        <v>-4.7477028980787289E-3</v>
      </c>
      <c r="U5" s="17">
        <f t="shared" ref="U5:U43" si="2">T5/1000*12*60</f>
        <v>-3.4183460866166848E-3</v>
      </c>
      <c r="V5" s="90">
        <v>4.3927360385035952</v>
      </c>
      <c r="X5" s="100">
        <v>0.14233468101348509</v>
      </c>
    </row>
    <row r="6" spans="1:24" x14ac:dyDescent="0.25">
      <c r="A6" s="21" t="s">
        <v>16</v>
      </c>
      <c r="B6" s="69">
        <v>68</v>
      </c>
      <c r="C6" s="70">
        <v>56</v>
      </c>
      <c r="D6" s="70">
        <v>78</v>
      </c>
      <c r="E6" s="71">
        <v>60</v>
      </c>
      <c r="F6" s="72">
        <f>(META!C$24+AVERAGE(B6:E6)/10*META!C$23)</f>
        <v>6345.7479999999996</v>
      </c>
      <c r="G6" s="69">
        <v>0</v>
      </c>
      <c r="H6" s="70">
        <v>20</v>
      </c>
      <c r="I6" s="70">
        <v>40</v>
      </c>
      <c r="J6" s="71"/>
      <c r="K6" s="120">
        <v>2.14</v>
      </c>
      <c r="L6" s="121">
        <v>1.903</v>
      </c>
      <c r="M6" s="121">
        <v>1.97</v>
      </c>
      <c r="N6" s="73"/>
      <c r="O6" s="17">
        <f t="shared" si="0"/>
        <v>-4.2500000000000038E-3</v>
      </c>
      <c r="P6" s="5">
        <f t="shared" si="1"/>
        <v>0.48404385984501686</v>
      </c>
      <c r="Q6" s="116">
        <v>26</v>
      </c>
      <c r="R6" s="107"/>
      <c r="S6" s="107">
        <v>52.2</v>
      </c>
      <c r="T6" s="5">
        <f>O6*F6*101.325/8.3145/META!C$23/(273.15+Fluxes!Q6)*10</f>
        <v>-3.4971344623012247E-2</v>
      </c>
      <c r="U6" s="17">
        <f t="shared" si="2"/>
        <v>-2.5179368128568823E-2</v>
      </c>
      <c r="V6" s="90">
        <v>2.9399593527784549</v>
      </c>
      <c r="X6" s="100">
        <v>-4.7518910665968549E-2</v>
      </c>
    </row>
    <row r="7" spans="1:24" x14ac:dyDescent="0.25">
      <c r="A7" s="22" t="s">
        <v>17</v>
      </c>
      <c r="B7" s="74">
        <v>66</v>
      </c>
      <c r="C7" s="75">
        <v>52</v>
      </c>
      <c r="D7" s="75">
        <v>64</v>
      </c>
      <c r="E7" s="76">
        <v>59</v>
      </c>
      <c r="F7" s="77">
        <f>(META!C$24+AVERAGE(B7:E7)/10*META!C$23)</f>
        <v>6180.8140000000003</v>
      </c>
      <c r="G7" s="74">
        <v>0</v>
      </c>
      <c r="H7" s="75">
        <v>20</v>
      </c>
      <c r="I7" s="75">
        <v>40</v>
      </c>
      <c r="J7" s="76"/>
      <c r="K7" s="122">
        <v>1.9890000000000001</v>
      </c>
      <c r="L7" s="123">
        <v>2.0019999999999998</v>
      </c>
      <c r="M7" s="123">
        <v>1.9810000000000001</v>
      </c>
      <c r="N7" s="78"/>
      <c r="O7" s="23">
        <f t="shared" si="0"/>
        <v>-2.0000000000000017E-4</v>
      </c>
      <c r="P7" s="24">
        <f t="shared" si="1"/>
        <v>0.14243323442136982</v>
      </c>
      <c r="Q7" s="117">
        <v>26</v>
      </c>
      <c r="R7" s="108"/>
      <c r="S7" s="108">
        <v>50.7</v>
      </c>
      <c r="T7" s="24">
        <f>O7*F7*101.325/8.3145/META!C$23/(273.15+Fluxes!Q7)*10</f>
        <v>-1.6029362464050603E-3</v>
      </c>
      <c r="U7" s="23">
        <f t="shared" si="2"/>
        <v>-1.1541140974116436E-3</v>
      </c>
      <c r="V7" s="91">
        <v>2.3626031705492072</v>
      </c>
      <c r="X7" s="101">
        <v>1.4604111090518661E-2</v>
      </c>
    </row>
    <row r="8" spans="1:24" x14ac:dyDescent="0.25">
      <c r="A8" s="2" t="s">
        <v>18</v>
      </c>
      <c r="B8" s="69">
        <v>74</v>
      </c>
      <c r="C8" s="70">
        <v>63</v>
      </c>
      <c r="D8" s="70">
        <v>75</v>
      </c>
      <c r="E8" s="71">
        <v>70</v>
      </c>
      <c r="F8" s="72">
        <f>(META!C$24+AVERAGE(B8:E8)/10*META!C$23)</f>
        <v>6502.8279999999995</v>
      </c>
      <c r="G8" s="69">
        <v>0</v>
      </c>
      <c r="H8" s="70">
        <v>20</v>
      </c>
      <c r="I8" s="70">
        <v>40</v>
      </c>
      <c r="J8" s="71"/>
      <c r="K8" s="120">
        <v>2.1859999999999999</v>
      </c>
      <c r="L8" s="121">
        <v>1.8520000000000001</v>
      </c>
      <c r="M8" s="121">
        <v>2.036</v>
      </c>
      <c r="N8" s="73"/>
      <c r="O8" s="17">
        <f t="shared" si="0"/>
        <v>-3.7499999999999977E-3</v>
      </c>
      <c r="P8" s="5">
        <f t="shared" si="1"/>
        <v>0.20099814188384388</v>
      </c>
      <c r="Q8" s="116">
        <v>26</v>
      </c>
      <c r="R8" s="107"/>
      <c r="S8" s="107">
        <v>47.3</v>
      </c>
      <c r="T8" s="5">
        <f>O8*F8*101.325/8.3145/META!C$23/(273.15+Fluxes!Q8)*10</f>
        <v>-3.1620891799216427E-2</v>
      </c>
      <c r="U8" s="17">
        <f t="shared" si="2"/>
        <v>-2.2767042095435831E-2</v>
      </c>
      <c r="V8" s="90">
        <v>4.178953447449981</v>
      </c>
      <c r="X8" s="100">
        <v>-5.5846118061734097E-2</v>
      </c>
    </row>
    <row r="9" spans="1:24" x14ac:dyDescent="0.25">
      <c r="A9" s="2" t="s">
        <v>19</v>
      </c>
      <c r="B9" s="69">
        <v>47</v>
      </c>
      <c r="C9" s="70">
        <v>67</v>
      </c>
      <c r="D9" s="70">
        <v>40</v>
      </c>
      <c r="E9" s="71">
        <v>45</v>
      </c>
      <c r="F9" s="72">
        <f>(META!C$24+AVERAGE(B9:E9)/10*META!C$23)</f>
        <v>5850.9459999999999</v>
      </c>
      <c r="G9" s="69">
        <v>0</v>
      </c>
      <c r="H9" s="70">
        <v>20</v>
      </c>
      <c r="I9" s="70">
        <v>40</v>
      </c>
      <c r="J9" s="71"/>
      <c r="K9" s="120">
        <v>2.0609999999999999</v>
      </c>
      <c r="L9" s="121">
        <v>1.9410000000000001</v>
      </c>
      <c r="M9" s="121">
        <v>1.9890000000000001</v>
      </c>
      <c r="N9" s="73"/>
      <c r="O9" s="17">
        <f t="shared" si="0"/>
        <v>-1.799999999999996E-3</v>
      </c>
      <c r="P9" s="5">
        <f t="shared" si="1"/>
        <v>0.355263157894736</v>
      </c>
      <c r="Q9" s="116">
        <v>26</v>
      </c>
      <c r="R9" s="107"/>
      <c r="S9" s="107">
        <v>49.9</v>
      </c>
      <c r="T9" s="5">
        <f>O9*F9*101.325/8.3145/META!C$23/(273.15+Fluxes!Q9)*10</f>
        <v>-1.3656492619326201E-2</v>
      </c>
      <c r="U9" s="17">
        <f t="shared" si="2"/>
        <v>-9.8326746859148644E-3</v>
      </c>
      <c r="V9" s="90">
        <v>4.0257212766088672</v>
      </c>
      <c r="X9" s="100">
        <v>-7.1684770173312082E-2</v>
      </c>
    </row>
    <row r="10" spans="1:24" x14ac:dyDescent="0.25">
      <c r="A10" s="2" t="s">
        <v>20</v>
      </c>
      <c r="B10" s="69">
        <v>58</v>
      </c>
      <c r="C10" s="70">
        <v>65</v>
      </c>
      <c r="D10" s="70">
        <v>62</v>
      </c>
      <c r="E10" s="71">
        <v>57</v>
      </c>
      <c r="F10" s="72">
        <f>(META!C$24+AVERAGE(B10:E10)/10*META!C$23)</f>
        <v>6188.6679999999997</v>
      </c>
      <c r="G10" s="69">
        <v>0</v>
      </c>
      <c r="H10" s="70">
        <v>20</v>
      </c>
      <c r="I10" s="70">
        <v>40</v>
      </c>
      <c r="J10" s="71"/>
      <c r="K10" s="120">
        <v>2.077</v>
      </c>
      <c r="L10" s="121">
        <v>2.125</v>
      </c>
      <c r="M10" s="121">
        <v>2.2120000000000002</v>
      </c>
      <c r="N10" s="73"/>
      <c r="O10" s="17">
        <f t="shared" si="0"/>
        <v>3.3750000000000056E-3</v>
      </c>
      <c r="P10" s="5">
        <f t="shared" si="1"/>
        <v>0.97293401665598978</v>
      </c>
      <c r="Q10" s="116">
        <v>26</v>
      </c>
      <c r="R10" s="107"/>
      <c r="S10" s="107">
        <v>45.5</v>
      </c>
      <c r="T10" s="5">
        <f>O10*F10*101.325/8.3145/META!C$23/(273.15+Fluxes!Q10)*10</f>
        <v>2.7083921193724669E-2</v>
      </c>
      <c r="U10" s="17">
        <f t="shared" si="2"/>
        <v>1.9500423259481762E-2</v>
      </c>
      <c r="V10" s="90">
        <v>3.1861561721825633</v>
      </c>
      <c r="X10" s="100">
        <v>-4.2223521912152152E-2</v>
      </c>
    </row>
    <row r="11" spans="1:24" x14ac:dyDescent="0.25">
      <c r="A11" s="25" t="s">
        <v>21</v>
      </c>
      <c r="B11" s="74">
        <v>67</v>
      </c>
      <c r="C11" s="75">
        <v>52</v>
      </c>
      <c r="D11" s="75">
        <v>63</v>
      </c>
      <c r="E11" s="76">
        <v>59</v>
      </c>
      <c r="F11" s="77">
        <f>(META!C$24+AVERAGE(B11:E11)/10*META!C$23)</f>
        <v>6180.8140000000003</v>
      </c>
      <c r="G11" s="74">
        <v>0</v>
      </c>
      <c r="H11" s="75">
        <v>20</v>
      </c>
      <c r="I11" s="75">
        <v>40</v>
      </c>
      <c r="J11" s="76"/>
      <c r="K11" s="122">
        <v>2.0270000000000001</v>
      </c>
      <c r="L11" s="123">
        <v>2.08</v>
      </c>
      <c r="M11" s="123">
        <v>2.077</v>
      </c>
      <c r="N11" s="78"/>
      <c r="O11" s="23">
        <f t="shared" si="0"/>
        <v>1.2499999999999955E-3</v>
      </c>
      <c r="P11" s="24">
        <f t="shared" si="1"/>
        <v>0.70515231289958435</v>
      </c>
      <c r="Q11" s="117">
        <v>26</v>
      </c>
      <c r="R11" s="108"/>
      <c r="S11" s="108">
        <v>43.9</v>
      </c>
      <c r="T11" s="24">
        <f>O11*F11*101.325/8.3145/META!C$23/(273.15+Fluxes!Q11)*10</f>
        <v>1.0018351540031584E-2</v>
      </c>
      <c r="U11" s="23">
        <f t="shared" si="2"/>
        <v>7.2132131088227395E-3</v>
      </c>
      <c r="V11" s="91">
        <v>2.1139080999650792</v>
      </c>
      <c r="X11" s="101">
        <v>-3.0671732813415498E-2</v>
      </c>
    </row>
    <row r="12" spans="1:24" x14ac:dyDescent="0.25">
      <c r="A12" s="2" t="s">
        <v>22</v>
      </c>
      <c r="B12" s="69">
        <v>55</v>
      </c>
      <c r="C12" s="70">
        <v>60</v>
      </c>
      <c r="D12" s="70">
        <v>63</v>
      </c>
      <c r="E12" s="71">
        <v>59</v>
      </c>
      <c r="F12" s="72">
        <f>(META!C$24+AVERAGE(B12:E12)/10*META!C$23)</f>
        <v>6149.3980000000001</v>
      </c>
      <c r="G12" s="69">
        <v>0</v>
      </c>
      <c r="H12" s="70">
        <v>20</v>
      </c>
      <c r="I12" s="70">
        <v>40</v>
      </c>
      <c r="J12" s="71"/>
      <c r="K12" s="120">
        <v>1.986</v>
      </c>
      <c r="L12" s="121">
        <v>1.9079999999999999</v>
      </c>
      <c r="M12" s="121">
        <v>1.87</v>
      </c>
      <c r="N12" s="73"/>
      <c r="O12" s="17">
        <f t="shared" si="0"/>
        <v>-2.8999999999999972E-3</v>
      </c>
      <c r="P12" s="5">
        <f t="shared" si="1"/>
        <v>0.9618757148303464</v>
      </c>
      <c r="Q12" s="116">
        <v>26</v>
      </c>
      <c r="R12" s="107"/>
      <c r="S12" s="107">
        <v>49.7</v>
      </c>
      <c r="T12" s="5">
        <f>O12*F12*101.325/8.3145/META!C$23/(273.15+Fluxes!Q12)*10</f>
        <v>-2.312443761334286E-2</v>
      </c>
      <c r="U12" s="17">
        <f t="shared" si="2"/>
        <v>-1.664959508160686E-2</v>
      </c>
      <c r="V12" s="90">
        <v>1.627153365313639</v>
      </c>
      <c r="X12" s="100">
        <v>-3.1388550145918598E-2</v>
      </c>
    </row>
    <row r="13" spans="1:24" x14ac:dyDescent="0.25">
      <c r="A13" s="2" t="s">
        <v>23</v>
      </c>
      <c r="B13" s="69">
        <v>50</v>
      </c>
      <c r="C13" s="70">
        <v>62</v>
      </c>
      <c r="D13" s="70">
        <v>71</v>
      </c>
      <c r="E13" s="71">
        <v>66</v>
      </c>
      <c r="F13" s="72">
        <f>(META!C$24+AVERAGE(B13:E13)/10*META!C$23)</f>
        <v>6243.6459999999997</v>
      </c>
      <c r="G13" s="69">
        <v>0</v>
      </c>
      <c r="H13" s="70">
        <v>20</v>
      </c>
      <c r="I13" s="70">
        <v>40</v>
      </c>
      <c r="J13" s="71"/>
      <c r="K13" s="120">
        <v>2.081</v>
      </c>
      <c r="L13" s="121">
        <v>1.9510000000000001</v>
      </c>
      <c r="M13" s="121">
        <v>1.8720000000000001</v>
      </c>
      <c r="N13" s="73"/>
      <c r="O13" s="17">
        <f t="shared" si="0"/>
        <v>-5.2249999999999961E-3</v>
      </c>
      <c r="P13" s="5">
        <f t="shared" si="1"/>
        <v>0.9805378468169168</v>
      </c>
      <c r="Q13" s="116">
        <v>26</v>
      </c>
      <c r="R13" s="107"/>
      <c r="S13" s="107">
        <v>49.8</v>
      </c>
      <c r="T13" s="5">
        <f>O13*F13*101.325/8.3145/META!C$23/(273.15+Fluxes!Q13)*10</f>
        <v>-4.2302413463916069E-2</v>
      </c>
      <c r="U13" s="17">
        <f t="shared" si="2"/>
        <v>-3.0457737694019566E-2</v>
      </c>
      <c r="V13" s="90">
        <v>2.1342010515947201</v>
      </c>
      <c r="X13" s="100">
        <v>-1.4159101416247226E-2</v>
      </c>
    </row>
    <row r="14" spans="1:24" x14ac:dyDescent="0.25">
      <c r="A14" s="2" t="s">
        <v>24</v>
      </c>
      <c r="B14" s="69">
        <v>57</v>
      </c>
      <c r="C14" s="70">
        <v>65</v>
      </c>
      <c r="D14" s="70">
        <v>47</v>
      </c>
      <c r="E14" s="71">
        <v>64</v>
      </c>
      <c r="F14" s="72">
        <f>(META!C$24+AVERAGE(B14:E14)/10*META!C$23)</f>
        <v>6117.982</v>
      </c>
      <c r="G14" s="69">
        <v>0</v>
      </c>
      <c r="H14" s="70">
        <v>20</v>
      </c>
      <c r="I14" s="70">
        <v>40</v>
      </c>
      <c r="J14" s="71"/>
      <c r="K14" s="120">
        <v>1.8680000000000001</v>
      </c>
      <c r="L14" s="121">
        <v>1.9370000000000001</v>
      </c>
      <c r="M14" s="121">
        <v>1.8340000000000001</v>
      </c>
      <c r="N14" s="73"/>
      <c r="O14" s="17">
        <f t="shared" si="0"/>
        <v>-8.5000000000000071E-4</v>
      </c>
      <c r="P14" s="5">
        <f t="shared" si="1"/>
        <v>0.10492557182621347</v>
      </c>
      <c r="Q14" s="116">
        <v>26</v>
      </c>
      <c r="R14" s="107"/>
      <c r="S14" s="107">
        <v>34.4</v>
      </c>
      <c r="T14" s="5">
        <f>O14*F14*101.325/8.3145/META!C$23/(273.15+Fluxes!Q14)*10</f>
        <v>-6.7432257606001933E-3</v>
      </c>
      <c r="U14" s="17">
        <f t="shared" si="2"/>
        <v>-4.8551225476321392E-3</v>
      </c>
      <c r="V14" s="90">
        <v>2.5191081808641087</v>
      </c>
      <c r="X14" s="100">
        <v>-2.2474067136552912E-2</v>
      </c>
    </row>
    <row r="15" spans="1:24" x14ac:dyDescent="0.25">
      <c r="A15" s="25" t="s">
        <v>25</v>
      </c>
      <c r="B15" s="74">
        <v>61</v>
      </c>
      <c r="C15" s="75">
        <v>75</v>
      </c>
      <c r="D15" s="75">
        <v>77</v>
      </c>
      <c r="E15" s="76">
        <v>82</v>
      </c>
      <c r="F15" s="77">
        <f>(META!C$24+AVERAGE(B15:E15)/10*META!C$23)</f>
        <v>6604.93</v>
      </c>
      <c r="G15" s="74">
        <v>0</v>
      </c>
      <c r="H15" s="75">
        <v>20</v>
      </c>
      <c r="I15" s="75">
        <v>40</v>
      </c>
      <c r="J15" s="76"/>
      <c r="K15" s="122">
        <v>1.9750000000000001</v>
      </c>
      <c r="L15" s="123">
        <v>1.927</v>
      </c>
      <c r="M15" s="123">
        <v>1.8240000000000001</v>
      </c>
      <c r="N15" s="78"/>
      <c r="O15" s="23">
        <f t="shared" si="0"/>
        <v>-3.7750000000000006E-3</v>
      </c>
      <c r="P15" s="24">
        <f t="shared" si="1"/>
        <v>0.95764966119728956</v>
      </c>
      <c r="Q15" s="117">
        <v>26</v>
      </c>
      <c r="R15" s="108"/>
      <c r="S15" s="108">
        <v>43.8</v>
      </c>
      <c r="T15" s="24">
        <f>O15*F15*101.325/8.3145/META!C$23/(273.15+Fluxes!Q15)*10</f>
        <v>-3.2331492603506456E-2</v>
      </c>
      <c r="U15" s="23">
        <f t="shared" si="2"/>
        <v>-2.3278674674524644E-2</v>
      </c>
      <c r="V15" s="91">
        <v>2.7449218178243111</v>
      </c>
      <c r="X15" s="101">
        <v>-4.7951660890660018E-2</v>
      </c>
    </row>
    <row r="16" spans="1:24" x14ac:dyDescent="0.25">
      <c r="A16" s="2" t="s">
        <v>26</v>
      </c>
      <c r="B16" s="69">
        <v>53</v>
      </c>
      <c r="C16" s="70">
        <v>71</v>
      </c>
      <c r="D16" s="70">
        <v>56</v>
      </c>
      <c r="E16" s="71">
        <v>57</v>
      </c>
      <c r="F16" s="72">
        <f>(META!C$24+AVERAGE(B16:E16)/10*META!C$23)</f>
        <v>6149.3980000000001</v>
      </c>
      <c r="G16" s="69">
        <v>0</v>
      </c>
      <c r="H16" s="70">
        <v>20</v>
      </c>
      <c r="I16" s="70">
        <v>40</v>
      </c>
      <c r="J16" s="71"/>
      <c r="K16" s="124">
        <v>1.986</v>
      </c>
      <c r="L16" s="121">
        <v>1.8959999999999999</v>
      </c>
      <c r="M16" s="121">
        <v>1.9259999999999999</v>
      </c>
      <c r="N16" s="73"/>
      <c r="O16" s="17">
        <f t="shared" si="0"/>
        <v>-1.5000000000000013E-3</v>
      </c>
      <c r="P16" s="5">
        <f t="shared" si="1"/>
        <v>0.42857142857142866</v>
      </c>
      <c r="Q16" s="116">
        <v>26</v>
      </c>
      <c r="R16" s="107"/>
      <c r="S16" s="107">
        <v>51.4</v>
      </c>
      <c r="T16" s="5">
        <f>O16*F16*101.325/8.3145/META!C$23/(273.15+Fluxes!Q16)*10</f>
        <v>-1.19609160069015E-2</v>
      </c>
      <c r="U16" s="17">
        <f t="shared" si="2"/>
        <v>-8.6118595249690798E-3</v>
      </c>
      <c r="V16" s="90">
        <v>1.6165491797323048</v>
      </c>
      <c r="X16" s="100">
        <v>-0.13488977103987057</v>
      </c>
    </row>
    <row r="17" spans="1:24" x14ac:dyDescent="0.25">
      <c r="A17" s="2" t="s">
        <v>27</v>
      </c>
      <c r="B17" s="69">
        <v>73</v>
      </c>
      <c r="C17" s="70">
        <v>81</v>
      </c>
      <c r="D17" s="70">
        <v>87</v>
      </c>
      <c r="E17" s="71">
        <v>80</v>
      </c>
      <c r="F17" s="72">
        <f>(META!C$24+AVERAGE(B17:E17)/10*META!C$23)</f>
        <v>6809.134</v>
      </c>
      <c r="G17" s="69">
        <v>0</v>
      </c>
      <c r="H17" s="70">
        <v>20</v>
      </c>
      <c r="I17" s="70">
        <v>40</v>
      </c>
      <c r="J17" s="71"/>
      <c r="K17" s="120">
        <v>2.0369999999999999</v>
      </c>
      <c r="L17" s="121">
        <v>1.893</v>
      </c>
      <c r="M17" s="121">
        <v>1.7909999999999999</v>
      </c>
      <c r="N17" s="73"/>
      <c r="O17" s="17">
        <f t="shared" si="0"/>
        <v>-6.1500000000000001E-3</v>
      </c>
      <c r="P17" s="5">
        <f t="shared" si="1"/>
        <v>0.99037706205813036</v>
      </c>
      <c r="Q17" s="116">
        <v>26</v>
      </c>
      <c r="R17" s="107"/>
      <c r="S17" s="107">
        <v>44.2</v>
      </c>
      <c r="T17" s="5">
        <f>O17*F17*101.325/8.3145/META!C$23/(273.15+Fluxes!Q17)*10</f>
        <v>-5.4300968550144643E-2</v>
      </c>
      <c r="U17" s="17">
        <f t="shared" si="2"/>
        <v>-3.9096697356104146E-2</v>
      </c>
      <c r="V17" s="90">
        <v>2.1826798030080412</v>
      </c>
      <c r="X17" s="100">
        <v>-5.5597115750638679E-2</v>
      </c>
    </row>
    <row r="18" spans="1:24" x14ac:dyDescent="0.25">
      <c r="A18" s="2" t="s">
        <v>28</v>
      </c>
      <c r="B18" s="69">
        <v>59</v>
      </c>
      <c r="C18" s="70">
        <v>71</v>
      </c>
      <c r="D18" s="70">
        <v>63</v>
      </c>
      <c r="E18" s="71">
        <v>71</v>
      </c>
      <c r="F18" s="72">
        <f>(META!C$24+AVERAGE(B18:E18)/10*META!C$23)</f>
        <v>6361.4560000000001</v>
      </c>
      <c r="G18" s="69">
        <v>0</v>
      </c>
      <c r="H18" s="70">
        <v>20</v>
      </c>
      <c r="I18" s="70">
        <v>40</v>
      </c>
      <c r="J18" s="71"/>
      <c r="K18" s="120">
        <v>1.97</v>
      </c>
      <c r="L18" s="121">
        <v>1.7789999999999999</v>
      </c>
      <c r="M18" s="121">
        <v>1.905</v>
      </c>
      <c r="N18" s="73"/>
      <c r="O18" s="17">
        <f t="shared" si="0"/>
        <v>-1.6249999999999986E-3</v>
      </c>
      <c r="P18" s="5">
        <f t="shared" si="1"/>
        <v>0.11200558481495858</v>
      </c>
      <c r="Q18" s="116">
        <v>26</v>
      </c>
      <c r="R18" s="107"/>
      <c r="S18" s="107">
        <v>49.7</v>
      </c>
      <c r="T18" s="5">
        <f>O18*F18*101.325/8.3145/META!C$23/(273.15+Fluxes!Q18)*10</f>
        <v>-1.3404495470786912E-2</v>
      </c>
      <c r="U18" s="17">
        <f t="shared" si="2"/>
        <v>-9.651236738966576E-3</v>
      </c>
      <c r="V18" s="90">
        <v>2.8972629804987728</v>
      </c>
      <c r="X18" s="100">
        <v>-4.314912444009434E-2</v>
      </c>
    </row>
    <row r="19" spans="1:24" x14ac:dyDescent="0.25">
      <c r="A19" s="25" t="s">
        <v>29</v>
      </c>
      <c r="B19" s="74">
        <v>71</v>
      </c>
      <c r="C19" s="75">
        <v>61</v>
      </c>
      <c r="D19" s="75">
        <v>67</v>
      </c>
      <c r="E19" s="76">
        <v>73</v>
      </c>
      <c r="F19" s="77">
        <f>(META!C$24+AVERAGE(B19:E19)/10*META!C$23)</f>
        <v>6424.2880000000005</v>
      </c>
      <c r="G19" s="74">
        <v>0</v>
      </c>
      <c r="H19" s="75">
        <v>20</v>
      </c>
      <c r="I19" s="75">
        <v>40</v>
      </c>
      <c r="J19" s="76"/>
      <c r="K19" s="122">
        <v>2.0009999999999999</v>
      </c>
      <c r="L19" s="123">
        <v>1.931</v>
      </c>
      <c r="M19" s="123">
        <v>1.6859999999999999</v>
      </c>
      <c r="N19" s="78"/>
      <c r="O19" s="23">
        <f t="shared" si="0"/>
        <v>-7.8749999999999983E-3</v>
      </c>
      <c r="P19" s="24">
        <f t="shared" si="1"/>
        <v>0.90671641791044744</v>
      </c>
      <c r="Q19" s="117">
        <v>26</v>
      </c>
      <c r="R19" s="108"/>
      <c r="S19" s="108">
        <v>44.5</v>
      </c>
      <c r="T19" s="24">
        <f>O19*F19*101.325/8.3145/META!C$23/(273.15+Fluxes!Q19)*10</f>
        <v>-6.5601858613438591E-2</v>
      </c>
      <c r="U19" s="23">
        <f t="shared" si="2"/>
        <v>-4.7233338201675787E-2</v>
      </c>
      <c r="V19" s="91">
        <v>4.1555608677191787</v>
      </c>
      <c r="X19" s="101">
        <v>-7.7674917593869214E-2</v>
      </c>
    </row>
    <row r="20" spans="1:24" x14ac:dyDescent="0.25">
      <c r="A20" s="2" t="s">
        <v>30</v>
      </c>
      <c r="B20" s="69">
        <v>80</v>
      </c>
      <c r="C20" s="70">
        <v>76</v>
      </c>
      <c r="D20" s="70">
        <v>85</v>
      </c>
      <c r="E20" s="71">
        <v>73</v>
      </c>
      <c r="F20" s="72">
        <f>(META!C$24+AVERAGE(B20:E20)/10*META!C$23)</f>
        <v>6754.1559999999999</v>
      </c>
      <c r="G20" s="69">
        <v>0</v>
      </c>
      <c r="H20" s="70">
        <v>20</v>
      </c>
      <c r="I20" s="70">
        <v>40</v>
      </c>
      <c r="J20" s="71"/>
      <c r="K20" s="120">
        <v>1.9730000000000001</v>
      </c>
      <c r="L20" s="121">
        <v>2.032</v>
      </c>
      <c r="M20" s="121">
        <v>1.927</v>
      </c>
      <c r="N20" s="73"/>
      <c r="O20" s="17">
        <f t="shared" si="0"/>
        <v>-1.1500000000000011E-3</v>
      </c>
      <c r="P20" s="5">
        <f t="shared" si="1"/>
        <v>0.19095175069185463</v>
      </c>
      <c r="Q20" s="116">
        <v>26</v>
      </c>
      <c r="R20" s="107"/>
      <c r="S20" s="107">
        <v>48</v>
      </c>
      <c r="T20" s="5">
        <f>O20*F20*101.325/8.3145/META!C$23/(273.15+Fluxes!Q20)*10</f>
        <v>-1.0071855977396625E-2</v>
      </c>
      <c r="U20" s="17">
        <f t="shared" si="2"/>
        <v>-7.2517363037255698E-3</v>
      </c>
      <c r="V20" s="90">
        <v>2.9984673828005173</v>
      </c>
      <c r="X20" s="100">
        <v>-1.5084319506773761E-2</v>
      </c>
    </row>
    <row r="21" spans="1:24" x14ac:dyDescent="0.25">
      <c r="A21" s="2" t="s">
        <v>31</v>
      </c>
      <c r="B21" s="69">
        <v>54</v>
      </c>
      <c r="C21" s="70">
        <v>69</v>
      </c>
      <c r="D21" s="70">
        <v>71</v>
      </c>
      <c r="E21" s="71">
        <v>75</v>
      </c>
      <c r="F21" s="72">
        <f>(META!C$24+AVERAGE(B21:E21)/10*META!C$23)</f>
        <v>6400.7260000000006</v>
      </c>
      <c r="G21" s="69">
        <v>0</v>
      </c>
      <c r="H21" s="70">
        <v>20</v>
      </c>
      <c r="I21" s="70">
        <v>40</v>
      </c>
      <c r="J21" s="71"/>
      <c r="K21" s="120">
        <v>1.986</v>
      </c>
      <c r="L21" s="121">
        <v>2.0569999999999999</v>
      </c>
      <c r="M21" s="121">
        <v>1.9330000000000001</v>
      </c>
      <c r="N21" s="73"/>
      <c r="O21" s="17">
        <f t="shared" si="0"/>
        <v>-1.3249999999999985E-3</v>
      </c>
      <c r="P21" s="5">
        <f t="shared" si="1"/>
        <v>0.18141307155773689</v>
      </c>
      <c r="Q21" s="116">
        <v>26</v>
      </c>
      <c r="R21" s="107"/>
      <c r="S21" s="107">
        <v>37.4</v>
      </c>
      <c r="T21" s="5">
        <f>O21*F21*101.325/8.3145/META!C$23/(273.15+Fluxes!Q21)*10</f>
        <v>-1.09972904167939E-2</v>
      </c>
      <c r="U21" s="17">
        <f t="shared" si="2"/>
        <v>-7.9180491000916068E-3</v>
      </c>
      <c r="V21" s="90">
        <v>2.1658189217234352</v>
      </c>
      <c r="X21" s="100">
        <v>-1.1040463630321878E-2</v>
      </c>
    </row>
    <row r="22" spans="1:24" x14ac:dyDescent="0.25">
      <c r="A22" s="2" t="s">
        <v>32</v>
      </c>
      <c r="B22" s="69">
        <v>67</v>
      </c>
      <c r="C22" s="70">
        <v>72</v>
      </c>
      <c r="D22" s="70">
        <v>81</v>
      </c>
      <c r="E22" s="71">
        <v>64</v>
      </c>
      <c r="F22" s="72">
        <f>(META!C$24+AVERAGE(B22:E22)/10*META!C$23)</f>
        <v>6518.5360000000001</v>
      </c>
      <c r="G22" s="69">
        <v>0</v>
      </c>
      <c r="H22" s="70">
        <v>20</v>
      </c>
      <c r="I22" s="70">
        <v>40</v>
      </c>
      <c r="J22" s="71"/>
      <c r="K22" s="120">
        <v>1.976</v>
      </c>
      <c r="L22" s="121">
        <v>2.089</v>
      </c>
      <c r="M22" s="121">
        <v>2.0310000000000001</v>
      </c>
      <c r="N22" s="73"/>
      <c r="O22" s="17">
        <f t="shared" si="0"/>
        <v>1.375000000000004E-3</v>
      </c>
      <c r="P22" s="5">
        <f t="shared" si="1"/>
        <v>0.23684622611963821</v>
      </c>
      <c r="Q22" s="116">
        <v>26</v>
      </c>
      <c r="R22" s="107"/>
      <c r="S22" s="107">
        <v>47.6</v>
      </c>
      <c r="T22" s="5">
        <f>O22*F22*101.325/8.3145/META!C$23/(273.15+Fluxes!Q22)*10</f>
        <v>1.1622333836900272E-2</v>
      </c>
      <c r="U22" s="17">
        <f t="shared" si="2"/>
        <v>8.3680803625681959E-3</v>
      </c>
      <c r="V22" s="90">
        <v>3.0524845736591932</v>
      </c>
      <c r="X22" s="100">
        <v>4.5460732595442891E-3</v>
      </c>
    </row>
    <row r="23" spans="1:24" x14ac:dyDescent="0.25">
      <c r="A23" s="25" t="s">
        <v>33</v>
      </c>
      <c r="B23" s="74">
        <v>69</v>
      </c>
      <c r="C23" s="75">
        <v>71</v>
      </c>
      <c r="D23" s="75">
        <v>75</v>
      </c>
      <c r="E23" s="76">
        <v>75</v>
      </c>
      <c r="F23" s="77">
        <f>(META!C$24+AVERAGE(B23:E23)/10*META!C$23)</f>
        <v>6565.66</v>
      </c>
      <c r="G23" s="74">
        <v>0</v>
      </c>
      <c r="H23" s="75">
        <v>20</v>
      </c>
      <c r="I23" s="75">
        <v>40</v>
      </c>
      <c r="J23" s="76"/>
      <c r="K23" s="122">
        <v>2.0539999999999998</v>
      </c>
      <c r="L23" s="123">
        <v>1.9490000000000001</v>
      </c>
      <c r="M23" s="123">
        <v>1.7450000000000001</v>
      </c>
      <c r="N23" s="78"/>
      <c r="O23" s="23">
        <f t="shared" si="0"/>
        <v>-7.7249999999999932E-3</v>
      </c>
      <c r="P23" s="24">
        <f t="shared" si="1"/>
        <v>0.96691578563616454</v>
      </c>
      <c r="Q23" s="117">
        <v>26</v>
      </c>
      <c r="R23" s="108"/>
      <c r="S23" s="108">
        <v>38.5</v>
      </c>
      <c r="T23" s="24">
        <f>O23*F23*101.325/8.3145/META!C$23/(273.15+Fluxes!Q23)*10</f>
        <v>-6.5768427270091273E-2</v>
      </c>
      <c r="U23" s="23">
        <f t="shared" si="2"/>
        <v>-4.7353267634465707E-2</v>
      </c>
      <c r="V23" s="91">
        <v>3.7249376227067263</v>
      </c>
      <c r="X23" s="101">
        <v>-5.2878074452473792E-2</v>
      </c>
    </row>
    <row r="24" spans="1:24" x14ac:dyDescent="0.25">
      <c r="A24" s="2" t="s">
        <v>34</v>
      </c>
      <c r="B24" s="69">
        <v>73</v>
      </c>
      <c r="C24" s="70">
        <v>76</v>
      </c>
      <c r="D24" s="70">
        <v>75</v>
      </c>
      <c r="E24" s="71">
        <v>70</v>
      </c>
      <c r="F24" s="72">
        <f>(META!C$24+AVERAGE(B24:E24)/10*META!C$23)</f>
        <v>6597.076</v>
      </c>
      <c r="G24" s="69">
        <v>0</v>
      </c>
      <c r="H24" s="70">
        <v>20</v>
      </c>
      <c r="I24" s="70">
        <v>40</v>
      </c>
      <c r="J24" s="71"/>
      <c r="K24" s="120">
        <v>2.105</v>
      </c>
      <c r="L24" s="121">
        <v>1.9419999999999999</v>
      </c>
      <c r="M24" s="121">
        <v>2.0339999999999998</v>
      </c>
      <c r="N24" s="73"/>
      <c r="O24" s="17">
        <f t="shared" si="0"/>
        <v>-1.7750000000000044E-3</v>
      </c>
      <c r="P24" s="5">
        <f t="shared" si="1"/>
        <v>0.18868842641114031</v>
      </c>
      <c r="Q24" s="116">
        <v>26</v>
      </c>
      <c r="R24" s="107"/>
      <c r="S24" s="107">
        <v>41.8</v>
      </c>
      <c r="T24" s="5">
        <f>O24*F24*101.325/8.3145/META!C$23/(273.15+Fluxes!Q24)*10</f>
        <v>-1.5184147854330227E-2</v>
      </c>
      <c r="U24" s="17">
        <f t="shared" si="2"/>
        <v>-1.0932586455117762E-2</v>
      </c>
      <c r="V24" s="90">
        <v>2.123552375423496</v>
      </c>
      <c r="X24" s="100">
        <v>-9.3266000885718292E-2</v>
      </c>
    </row>
    <row r="25" spans="1:24" x14ac:dyDescent="0.25">
      <c r="A25" s="2" t="s">
        <v>35</v>
      </c>
      <c r="B25" s="69">
        <v>86</v>
      </c>
      <c r="C25" s="70">
        <v>78</v>
      </c>
      <c r="D25" s="70">
        <v>88</v>
      </c>
      <c r="E25" s="71">
        <v>77</v>
      </c>
      <c r="F25" s="72">
        <f>(META!C$24+AVERAGE(B25:E25)/10*META!C$23)</f>
        <v>6871.9660000000003</v>
      </c>
      <c r="G25" s="69">
        <v>0</v>
      </c>
      <c r="H25" s="70">
        <v>20</v>
      </c>
      <c r="I25" s="70">
        <v>40</v>
      </c>
      <c r="J25" s="71"/>
      <c r="K25" s="120">
        <v>2.1859999999999999</v>
      </c>
      <c r="L25" s="121">
        <v>2.1030000000000002</v>
      </c>
      <c r="M25" s="121">
        <v>2.1949999999999998</v>
      </c>
      <c r="N25" s="73"/>
      <c r="O25" s="17">
        <f t="shared" si="0"/>
        <v>2.2499999999999742E-4</v>
      </c>
      <c r="P25" s="5">
        <f t="shared" si="1"/>
        <v>7.8722301412464755E-3</v>
      </c>
      <c r="Q25" s="116">
        <v>26</v>
      </c>
      <c r="R25" s="107"/>
      <c r="S25" s="107">
        <v>45.2</v>
      </c>
      <c r="T25" s="5">
        <f>O25*F25*101.325/8.3145/META!C$23/(273.15+Fluxes!Q25)*10</f>
        <v>2.0049525529559609E-3</v>
      </c>
      <c r="U25" s="17">
        <f t="shared" si="2"/>
        <v>1.443565838128292E-3</v>
      </c>
      <c r="V25" s="90">
        <v>1.5365760723542461</v>
      </c>
      <c r="X25" s="100">
        <v>-1.7266098266834496E-2</v>
      </c>
    </row>
    <row r="26" spans="1:24" x14ac:dyDescent="0.25">
      <c r="A26" s="2" t="s">
        <v>36</v>
      </c>
      <c r="B26" s="69">
        <v>90</v>
      </c>
      <c r="C26" s="70">
        <v>85</v>
      </c>
      <c r="D26" s="70">
        <v>88</v>
      </c>
      <c r="E26" s="71">
        <v>92</v>
      </c>
      <c r="F26" s="72">
        <f>(META!C$24+AVERAGE(B26:E26)/10*META!C$23)</f>
        <v>7076.17</v>
      </c>
      <c r="G26" s="69">
        <v>0</v>
      </c>
      <c r="H26" s="70">
        <v>20</v>
      </c>
      <c r="I26" s="70">
        <v>40</v>
      </c>
      <c r="J26" s="71"/>
      <c r="K26" s="120">
        <v>2.11</v>
      </c>
      <c r="L26" s="121">
        <v>1.9039999999999999</v>
      </c>
      <c r="M26" s="121">
        <v>2.0489999999999999</v>
      </c>
      <c r="N26" s="73"/>
      <c r="O26" s="17">
        <f t="shared" si="0"/>
        <v>-1.5249999999999986E-3</v>
      </c>
      <c r="P26" s="5">
        <f t="shared" si="1"/>
        <v>8.3080289363222135E-2</v>
      </c>
      <c r="Q26" s="116">
        <v>26</v>
      </c>
      <c r="R26" s="107"/>
      <c r="S26" s="107">
        <v>49.6</v>
      </c>
      <c r="T26" s="5">
        <f>O26*F26*101.325/8.3145/META!C$23/(273.15+Fluxes!Q26)*10</f>
        <v>-1.3992930625767265E-2</v>
      </c>
      <c r="U26" s="17">
        <f t="shared" si="2"/>
        <v>-1.007491005055243E-2</v>
      </c>
      <c r="V26" s="90">
        <v>2.649262702091205</v>
      </c>
      <c r="X26" s="100">
        <v>-8.283036267269453E-2</v>
      </c>
    </row>
    <row r="27" spans="1:24" x14ac:dyDescent="0.25">
      <c r="A27" s="25" t="s">
        <v>37</v>
      </c>
      <c r="B27" s="74">
        <v>75</v>
      </c>
      <c r="C27" s="75">
        <v>82</v>
      </c>
      <c r="D27" s="75">
        <v>78</v>
      </c>
      <c r="E27" s="76">
        <v>73</v>
      </c>
      <c r="F27" s="77">
        <f>(META!C$24+AVERAGE(B27:E27)/10*META!C$23)</f>
        <v>6707.0320000000002</v>
      </c>
      <c r="G27" s="74">
        <v>0</v>
      </c>
      <c r="H27" s="75">
        <v>20</v>
      </c>
      <c r="I27" s="75">
        <v>40</v>
      </c>
      <c r="J27" s="76"/>
      <c r="K27" s="122">
        <v>2.1030000000000002</v>
      </c>
      <c r="L27" s="123">
        <v>2.0339999999999998</v>
      </c>
      <c r="M27" s="123">
        <v>2.0409999999999999</v>
      </c>
      <c r="N27" s="78"/>
      <c r="O27" s="23">
        <f t="shared" si="0"/>
        <v>-1.5500000000000069E-3</v>
      </c>
      <c r="P27" s="24">
        <f t="shared" si="1"/>
        <v>0.66628148832909539</v>
      </c>
      <c r="Q27" s="117">
        <v>26</v>
      </c>
      <c r="R27" s="108"/>
      <c r="S27" s="108">
        <v>44.5</v>
      </c>
      <c r="T27" s="24">
        <f>O27*F27*101.325/8.3145/META!C$23/(273.15+Fluxes!Q27)*10</f>
        <v>-1.3480396176642692E-2</v>
      </c>
      <c r="U27" s="23">
        <f t="shared" si="2"/>
        <v>-9.705885247182737E-3</v>
      </c>
      <c r="V27" s="91">
        <v>3.9991912601485478</v>
      </c>
      <c r="X27" s="101">
        <v>-5.1664429650274575E-2</v>
      </c>
    </row>
    <row r="28" spans="1:24" x14ac:dyDescent="0.25">
      <c r="A28" s="2" t="s">
        <v>38</v>
      </c>
      <c r="B28" s="69">
        <v>91</v>
      </c>
      <c r="C28" s="70">
        <v>82</v>
      </c>
      <c r="D28" s="70">
        <v>66</v>
      </c>
      <c r="E28" s="71">
        <v>70</v>
      </c>
      <c r="F28" s="72">
        <f>(META!C$24+AVERAGE(B28:E28)/10*META!C$23)</f>
        <v>6714.8860000000004</v>
      </c>
      <c r="G28" s="69">
        <v>0</v>
      </c>
      <c r="H28" s="70">
        <v>20</v>
      </c>
      <c r="I28" s="70">
        <v>40</v>
      </c>
      <c r="J28" s="71"/>
      <c r="K28" s="120">
        <v>1.923</v>
      </c>
      <c r="L28" s="121">
        <v>1.988</v>
      </c>
      <c r="M28" s="121">
        <v>1.9350000000000001</v>
      </c>
      <c r="N28" s="73"/>
      <c r="O28" s="17">
        <f t="shared" si="0"/>
        <v>3.0000000000000024E-4</v>
      </c>
      <c r="P28" s="5">
        <f t="shared" si="1"/>
        <v>3.009194761772092E-2</v>
      </c>
      <c r="Q28" s="116">
        <v>26</v>
      </c>
      <c r="R28" s="107"/>
      <c r="S28" s="107">
        <v>35</v>
      </c>
      <c r="T28" s="5">
        <f>O28*F28*101.325/8.3145/META!C$23/(273.15+Fluxes!Q28)*10</f>
        <v>2.6121642294715283E-3</v>
      </c>
      <c r="U28" s="17">
        <f t="shared" si="2"/>
        <v>1.8807582452195003E-3</v>
      </c>
      <c r="V28" s="90">
        <v>6.1820746344010091</v>
      </c>
      <c r="X28" s="100">
        <v>-8.0456197847804597E-2</v>
      </c>
    </row>
    <row r="29" spans="1:24" x14ac:dyDescent="0.25">
      <c r="A29" s="2" t="s">
        <v>39</v>
      </c>
      <c r="B29" s="69">
        <v>80</v>
      </c>
      <c r="C29" s="70">
        <v>71</v>
      </c>
      <c r="D29" s="70">
        <v>82</v>
      </c>
      <c r="E29" s="71">
        <v>78</v>
      </c>
      <c r="F29" s="72">
        <f>(META!C$24+AVERAGE(B29:E29)/10*META!C$23)</f>
        <v>6730.594000000001</v>
      </c>
      <c r="G29" s="69">
        <v>0</v>
      </c>
      <c r="H29" s="70">
        <v>20</v>
      </c>
      <c r="I29" s="70">
        <v>40</v>
      </c>
      <c r="J29" s="71"/>
      <c r="K29" s="120">
        <v>1.966</v>
      </c>
      <c r="L29" s="121">
        <v>1.8009999999999999</v>
      </c>
      <c r="M29" s="121">
        <v>1.774</v>
      </c>
      <c r="N29" s="73"/>
      <c r="O29" s="17">
        <f t="shared" si="0"/>
        <v>-4.7999999999999987E-3</v>
      </c>
      <c r="P29" s="5">
        <f t="shared" si="1"/>
        <v>0.85309636212163276</v>
      </c>
      <c r="Q29" s="116">
        <v>26</v>
      </c>
      <c r="R29" s="107"/>
      <c r="S29" s="107">
        <v>34.1</v>
      </c>
      <c r="T29" s="5">
        <f>O29*F29*101.325/8.3145/META!C$23/(273.15+Fluxes!Q29)*10</f>
        <v>-4.1892397017362734E-2</v>
      </c>
      <c r="U29" s="17">
        <f t="shared" si="2"/>
        <v>-3.0162525852501166E-2</v>
      </c>
      <c r="V29" s="90">
        <v>3.7101841332990282</v>
      </c>
      <c r="X29" s="100">
        <v>-4.5575293405214212E-2</v>
      </c>
    </row>
    <row r="30" spans="1:24" x14ac:dyDescent="0.25">
      <c r="A30" s="2" t="s">
        <v>40</v>
      </c>
      <c r="B30" s="69">
        <v>79</v>
      </c>
      <c r="C30" s="70">
        <v>90</v>
      </c>
      <c r="D30" s="70">
        <v>89</v>
      </c>
      <c r="E30" s="71">
        <v>80</v>
      </c>
      <c r="F30" s="72">
        <f>(META!C$24+AVERAGE(B30:E30)/10*META!C$23)</f>
        <v>6942.652</v>
      </c>
      <c r="G30" s="69">
        <v>0</v>
      </c>
      <c r="H30" s="70">
        <v>20</v>
      </c>
      <c r="I30" s="70">
        <v>40</v>
      </c>
      <c r="J30" s="71"/>
      <c r="K30" s="120">
        <v>1.8660000000000001</v>
      </c>
      <c r="L30" s="121">
        <v>1.764</v>
      </c>
      <c r="M30" s="121">
        <v>1.5580000000000001</v>
      </c>
      <c r="N30" s="73"/>
      <c r="O30" s="17">
        <f t="shared" si="0"/>
        <v>-7.7000000000000011E-3</v>
      </c>
      <c r="P30" s="5">
        <f t="shared" si="1"/>
        <v>0.9633862319233063</v>
      </c>
      <c r="Q30" s="116">
        <v>26</v>
      </c>
      <c r="R30" s="107"/>
      <c r="S30" s="107">
        <v>30.4</v>
      </c>
      <c r="T30" s="5">
        <f>O30*F30*101.325/8.3145/META!C$23/(273.15+Fluxes!Q30)*10</f>
        <v>-6.9319704277397476E-2</v>
      </c>
      <c r="U30" s="17">
        <f t="shared" si="2"/>
        <v>-4.9910187079726179E-2</v>
      </c>
      <c r="V30" s="90">
        <v>3.9361584251236557</v>
      </c>
      <c r="X30" s="100">
        <v>-8.5430837290603079E-2</v>
      </c>
    </row>
    <row r="31" spans="1:24" x14ac:dyDescent="0.25">
      <c r="A31" s="25" t="s">
        <v>41</v>
      </c>
      <c r="B31" s="74">
        <v>77</v>
      </c>
      <c r="C31" s="75">
        <v>53</v>
      </c>
      <c r="D31" s="75">
        <v>77</v>
      </c>
      <c r="E31" s="76">
        <v>62</v>
      </c>
      <c r="F31" s="77">
        <f>(META!C$24+AVERAGE(B31:E31)/10*META!C$23)</f>
        <v>6400.7260000000006</v>
      </c>
      <c r="G31" s="74">
        <v>0</v>
      </c>
      <c r="H31" s="75">
        <v>20</v>
      </c>
      <c r="I31" s="75">
        <v>40</v>
      </c>
      <c r="J31" s="76"/>
      <c r="K31" s="122">
        <v>1.9419999999999999</v>
      </c>
      <c r="L31" s="123">
        <v>1.744</v>
      </c>
      <c r="M31" s="123">
        <v>1.4450000000000001</v>
      </c>
      <c r="N31" s="78"/>
      <c r="O31" s="23">
        <f t="shared" si="0"/>
        <v>-1.2424999999999997E-2</v>
      </c>
      <c r="P31" s="24">
        <f t="shared" si="1"/>
        <v>0.98642090017943906</v>
      </c>
      <c r="Q31" s="117">
        <v>26</v>
      </c>
      <c r="R31" s="108"/>
      <c r="S31" s="108">
        <v>20.399999999999999</v>
      </c>
      <c r="T31" s="24">
        <f>O31*F31*101.325/8.3145/META!C$23/(273.15+Fluxes!Q31)*10</f>
        <v>-0.10312553466314289</v>
      </c>
      <c r="U31" s="23">
        <f t="shared" si="2"/>
        <v>-7.4250384957462875E-2</v>
      </c>
      <c r="V31" s="91">
        <v>6.027746319519073</v>
      </c>
      <c r="X31" s="101">
        <v>-3.7141889757958146E-3</v>
      </c>
    </row>
    <row r="32" spans="1:24" x14ac:dyDescent="0.25">
      <c r="A32" s="2" t="s">
        <v>42</v>
      </c>
      <c r="B32" s="69">
        <v>88</v>
      </c>
      <c r="C32" s="70">
        <v>71</v>
      </c>
      <c r="D32" s="70">
        <v>73</v>
      </c>
      <c r="E32" s="71">
        <v>79</v>
      </c>
      <c r="F32" s="72">
        <f>(META!C$24+AVERAGE(B32:E32)/10*META!C$23)</f>
        <v>6730.594000000001</v>
      </c>
      <c r="G32" s="69">
        <v>0</v>
      </c>
      <c r="H32" s="70">
        <v>20</v>
      </c>
      <c r="I32" s="70">
        <v>40</v>
      </c>
      <c r="J32" s="71"/>
      <c r="K32" s="120">
        <v>1.956</v>
      </c>
      <c r="L32" s="121">
        <v>1.831</v>
      </c>
      <c r="M32" s="121">
        <v>1.81</v>
      </c>
      <c r="N32" s="73"/>
      <c r="O32" s="17">
        <f t="shared" si="0"/>
        <v>-3.6499999999999979E-3</v>
      </c>
      <c r="P32" s="5">
        <f t="shared" si="1"/>
        <v>0.85533144294045205</v>
      </c>
      <c r="Q32" s="116">
        <v>26</v>
      </c>
      <c r="R32" s="107"/>
      <c r="S32" s="107">
        <v>29.3</v>
      </c>
      <c r="T32" s="5">
        <f>O32*F32*101.325/8.3145/META!C$23/(273.15+Fluxes!Q32)*10</f>
        <v>-3.1855676898619574E-2</v>
      </c>
      <c r="U32" s="17">
        <f t="shared" si="2"/>
        <v>-2.293608736700609E-2</v>
      </c>
      <c r="V32" s="90">
        <v>5.2499685806952865</v>
      </c>
      <c r="X32" s="100">
        <v>-4.6668624630766847E-2</v>
      </c>
    </row>
    <row r="33" spans="1:24" x14ac:dyDescent="0.25">
      <c r="A33" s="2" t="s">
        <v>43</v>
      </c>
      <c r="B33" s="69">
        <v>63</v>
      </c>
      <c r="C33" s="70">
        <v>71</v>
      </c>
      <c r="D33" s="70">
        <v>80</v>
      </c>
      <c r="E33" s="71">
        <v>75</v>
      </c>
      <c r="F33" s="72">
        <f>(META!C$24+AVERAGE(B33:E33)/10*META!C$23)</f>
        <v>6557.8060000000005</v>
      </c>
      <c r="G33" s="69">
        <v>0</v>
      </c>
      <c r="H33" s="70">
        <v>20</v>
      </c>
      <c r="I33" s="70">
        <v>40</v>
      </c>
      <c r="J33" s="71"/>
      <c r="K33" s="120">
        <v>1.881</v>
      </c>
      <c r="L33" s="121">
        <v>1.788</v>
      </c>
      <c r="M33" s="121">
        <v>1.9219999999999999</v>
      </c>
      <c r="N33" s="73"/>
      <c r="O33" s="17">
        <f t="shared" si="0"/>
        <v>1.0249999999999981E-3</v>
      </c>
      <c r="P33" s="5">
        <f t="shared" si="1"/>
        <v>8.9143038959202225E-2</v>
      </c>
      <c r="Q33" s="116">
        <v>26</v>
      </c>
      <c r="R33" s="107"/>
      <c r="S33" s="107">
        <v>47.8</v>
      </c>
      <c r="T33" s="5">
        <f>O33*F33*101.325/8.3145/META!C$23/(273.15+Fluxes!Q33)*10</f>
        <v>8.7161161601448222E-3</v>
      </c>
      <c r="U33" s="17">
        <f t="shared" si="2"/>
        <v>6.2756036353042721E-3</v>
      </c>
      <c r="V33" s="90">
        <v>2.7203117246922184</v>
      </c>
      <c r="X33" s="100">
        <v>-5.7254827373186691E-2</v>
      </c>
    </row>
    <row r="34" spans="1:24" x14ac:dyDescent="0.25">
      <c r="A34" s="2" t="s">
        <v>44</v>
      </c>
      <c r="B34" s="69">
        <v>68</v>
      </c>
      <c r="C34" s="70">
        <v>68</v>
      </c>
      <c r="D34" s="70">
        <v>87</v>
      </c>
      <c r="E34" s="71">
        <v>59</v>
      </c>
      <c r="F34" s="72">
        <f>(META!C$24+AVERAGE(B34:E34)/10*META!C$23)</f>
        <v>6502.8279999999995</v>
      </c>
      <c r="G34" s="69">
        <v>0</v>
      </c>
      <c r="H34" s="70">
        <v>20</v>
      </c>
      <c r="I34" s="70">
        <v>40</v>
      </c>
      <c r="J34" s="71"/>
      <c r="K34" s="120">
        <v>1.8660000000000001</v>
      </c>
      <c r="L34" s="121">
        <v>1.89</v>
      </c>
      <c r="M34" s="121">
        <v>1.599</v>
      </c>
      <c r="N34" s="73"/>
      <c r="O34" s="17">
        <f t="shared" si="0"/>
        <v>-6.675000000000003E-3</v>
      </c>
      <c r="P34" s="5">
        <f t="shared" si="1"/>
        <v>0.68308037254225651</v>
      </c>
      <c r="Q34" s="116">
        <v>26</v>
      </c>
      <c r="R34" s="107"/>
      <c r="S34" s="107">
        <v>43.2</v>
      </c>
      <c r="T34" s="5">
        <f>O34*F34*101.325/8.3145/META!C$23/(273.15+Fluxes!Q34)*10</f>
        <v>-5.628518740260529E-2</v>
      </c>
      <c r="U34" s="17">
        <f t="shared" si="2"/>
        <v>-4.0525334929875811E-2</v>
      </c>
      <c r="V34" s="90">
        <v>4.5726771473289878</v>
      </c>
      <c r="X34" s="100">
        <v>-3.5665554575143914E-2</v>
      </c>
    </row>
    <row r="35" spans="1:24" ht="15.75" thickBot="1" x14ac:dyDescent="0.3">
      <c r="A35" s="58" t="s">
        <v>45</v>
      </c>
      <c r="B35" s="79">
        <v>72</v>
      </c>
      <c r="C35" s="80">
        <v>65</v>
      </c>
      <c r="D35" s="80">
        <v>64</v>
      </c>
      <c r="E35" s="81">
        <v>63</v>
      </c>
      <c r="F35" s="82">
        <f>(META!C$24+AVERAGE(B35:E35)/10*META!C$23)</f>
        <v>6361.4560000000001</v>
      </c>
      <c r="G35" s="79">
        <v>0</v>
      </c>
      <c r="H35" s="80">
        <v>20</v>
      </c>
      <c r="I35" s="80">
        <v>40</v>
      </c>
      <c r="J35" s="81"/>
      <c r="K35" s="125">
        <v>2.0910000000000002</v>
      </c>
      <c r="L35" s="126">
        <v>1.9379999999999999</v>
      </c>
      <c r="M35" s="126">
        <v>1.9139999999999999</v>
      </c>
      <c r="N35" s="83"/>
      <c r="O35" s="59">
        <f t="shared" si="0"/>
        <v>-4.4250000000000071E-3</v>
      </c>
      <c r="P35" s="60">
        <f t="shared" si="1"/>
        <v>0.84957696062479637</v>
      </c>
      <c r="Q35" s="118">
        <v>26</v>
      </c>
      <c r="R35" s="109"/>
      <c r="S35" s="109">
        <v>49.5</v>
      </c>
      <c r="T35" s="60">
        <f>O35*F35*101.325/8.3145/META!C$23/(273.15+Fluxes!Q35)*10</f>
        <v>-3.650147228198905E-2</v>
      </c>
      <c r="U35" s="59">
        <f t="shared" si="2"/>
        <v>-2.6281060043032118E-2</v>
      </c>
      <c r="V35" s="92">
        <v>1.5906302858859482</v>
      </c>
      <c r="X35" s="102">
        <v>-5.4997095137436806E-3</v>
      </c>
    </row>
    <row r="36" spans="1:24" ht="15.75" thickTop="1" x14ac:dyDescent="0.25">
      <c r="A36" s="2" t="s">
        <v>46</v>
      </c>
      <c r="B36" s="69">
        <v>81</v>
      </c>
      <c r="C36" s="70">
        <v>89</v>
      </c>
      <c r="D36" s="70">
        <v>78</v>
      </c>
      <c r="E36" s="71">
        <v>85</v>
      </c>
      <c r="F36" s="72">
        <f>(META!C$24+AVERAGE(B36:E36)/10*META!C$23)</f>
        <v>6903.3819999999996</v>
      </c>
      <c r="G36" s="69">
        <v>0</v>
      </c>
      <c r="H36" s="70">
        <v>20</v>
      </c>
      <c r="I36" s="70">
        <v>40</v>
      </c>
      <c r="J36" s="71"/>
      <c r="K36" s="120">
        <v>1.9570000000000001</v>
      </c>
      <c r="L36" s="121">
        <v>1.8720000000000001</v>
      </c>
      <c r="M36" s="121">
        <v>1.603</v>
      </c>
      <c r="N36" s="73"/>
      <c r="O36" s="17">
        <f>SLOPE(K36:N36,G36:J36)</f>
        <v>-8.850000000000002E-3</v>
      </c>
      <c r="P36" s="5">
        <f>RSQ(K36:N36,G36:J36)</f>
        <v>0.91738489619427799</v>
      </c>
      <c r="Q36" s="116">
        <v>26</v>
      </c>
      <c r="R36" s="107"/>
      <c r="S36" s="107">
        <v>27.5</v>
      </c>
      <c r="T36" s="5">
        <f>O36*F36*101.325/8.3145/META!C$23/(273.15+Fluxes!Q36)*10</f>
        <v>-7.9221991545640455E-2</v>
      </c>
      <c r="U36" s="17">
        <f t="shared" si="2"/>
        <v>-5.7039833912861132E-2</v>
      </c>
      <c r="V36" s="93">
        <v>4.9866106925877336</v>
      </c>
      <c r="X36" s="100">
        <v>-3.2350785692303492E-2</v>
      </c>
    </row>
    <row r="37" spans="1:24" x14ac:dyDescent="0.25">
      <c r="A37" s="2" t="s">
        <v>47</v>
      </c>
      <c r="B37" s="69">
        <v>88</v>
      </c>
      <c r="C37" s="70">
        <v>74</v>
      </c>
      <c r="D37" s="70">
        <v>77</v>
      </c>
      <c r="E37" s="71">
        <v>75</v>
      </c>
      <c r="F37" s="72">
        <f>(META!C$24+AVERAGE(B37:E37)/10*META!C$23)</f>
        <v>6754.1559999999999</v>
      </c>
      <c r="G37" s="69">
        <v>0</v>
      </c>
      <c r="H37" s="70">
        <v>20</v>
      </c>
      <c r="I37" s="70">
        <v>40</v>
      </c>
      <c r="J37" s="71"/>
      <c r="K37" s="120">
        <v>1.964</v>
      </c>
      <c r="L37" s="121">
        <v>1.8919999999999999</v>
      </c>
      <c r="M37" s="127">
        <v>1.6870000000000001</v>
      </c>
      <c r="N37" s="73"/>
      <c r="O37" s="17">
        <f t="shared" ref="O37:O43" si="3">SLOPE(K37:N37,G37:J37)</f>
        <v>-6.924999999999998E-3</v>
      </c>
      <c r="P37" s="5">
        <f t="shared" ref="P37:P43" si="4">RSQ(K37:N37,G37:J37)</f>
        <v>0.92863770594974915</v>
      </c>
      <c r="Q37" s="116">
        <v>26</v>
      </c>
      <c r="R37" s="107"/>
      <c r="S37" s="107">
        <v>35.6</v>
      </c>
      <c r="T37" s="5">
        <f>O37*F37*101.325/8.3145/META!C$23/(273.15+Fluxes!Q37)*10</f>
        <v>-6.0650089255192635E-2</v>
      </c>
      <c r="U37" s="17">
        <f t="shared" si="2"/>
        <v>-4.3668064263738697E-2</v>
      </c>
      <c r="V37" s="93">
        <v>3.5161138882473049</v>
      </c>
      <c r="X37" s="100">
        <v>-1.6209568284998629E-2</v>
      </c>
    </row>
    <row r="38" spans="1:24" x14ac:dyDescent="0.25">
      <c r="A38" s="2" t="s">
        <v>48</v>
      </c>
      <c r="B38" s="69">
        <v>55</v>
      </c>
      <c r="C38" s="70">
        <v>33</v>
      </c>
      <c r="D38" s="70">
        <v>68</v>
      </c>
      <c r="E38" s="71">
        <v>24</v>
      </c>
      <c r="F38" s="72">
        <f>(META!C$24+AVERAGE(B38:E38)/10*META!C$23)</f>
        <v>5701.72</v>
      </c>
      <c r="G38" s="69">
        <v>0</v>
      </c>
      <c r="H38" s="70">
        <v>20</v>
      </c>
      <c r="I38" s="70">
        <v>40</v>
      </c>
      <c r="J38" s="71"/>
      <c r="K38" s="120">
        <v>2.024</v>
      </c>
      <c r="L38" s="121">
        <v>1.921</v>
      </c>
      <c r="M38" s="121">
        <v>1.827</v>
      </c>
      <c r="N38" s="73"/>
      <c r="O38" s="17">
        <f t="shared" si="3"/>
        <v>-4.9250000000000014E-3</v>
      </c>
      <c r="P38" s="5">
        <f t="shared" si="4"/>
        <v>0.99930476877124319</v>
      </c>
      <c r="Q38" s="116">
        <v>26</v>
      </c>
      <c r="R38" s="107"/>
      <c r="S38" s="107">
        <v>39.5</v>
      </c>
      <c r="T38" s="5">
        <f>O38*F38*101.325/8.3145/META!C$23/(273.15+Fluxes!Q38)*10</f>
        <v>-3.6412684680488139E-2</v>
      </c>
      <c r="U38" s="17">
        <f t="shared" si="2"/>
        <v>-2.621713296995146E-2</v>
      </c>
      <c r="V38" s="93">
        <v>5.9714214170412605</v>
      </c>
      <c r="X38" s="100">
        <v>-1.3193460631217638E-2</v>
      </c>
    </row>
    <row r="39" spans="1:24" x14ac:dyDescent="0.25">
      <c r="A39" s="25" t="s">
        <v>49</v>
      </c>
      <c r="B39" s="74">
        <v>79</v>
      </c>
      <c r="C39" s="75">
        <v>71</v>
      </c>
      <c r="D39" s="75">
        <v>65</v>
      </c>
      <c r="E39" s="76">
        <v>65</v>
      </c>
      <c r="F39" s="77">
        <f>(META!C$24+AVERAGE(B39:E39)/10*META!C$23)</f>
        <v>6487.1200000000008</v>
      </c>
      <c r="G39" s="74">
        <v>0</v>
      </c>
      <c r="H39" s="75">
        <v>20</v>
      </c>
      <c r="I39" s="75">
        <v>40</v>
      </c>
      <c r="J39" s="76"/>
      <c r="K39" s="122">
        <v>1.9990000000000001</v>
      </c>
      <c r="L39" s="123">
        <v>1.968</v>
      </c>
      <c r="M39" s="123">
        <v>1.9490000000000001</v>
      </c>
      <c r="N39" s="78"/>
      <c r="O39" s="23">
        <f t="shared" si="3"/>
        <v>-1.2500000000000011E-3</v>
      </c>
      <c r="P39" s="24">
        <f t="shared" si="4"/>
        <v>0.98116169544740928</v>
      </c>
      <c r="Q39" s="117">
        <v>26</v>
      </c>
      <c r="R39" s="108"/>
      <c r="S39" s="108">
        <v>38.799999999999997</v>
      </c>
      <c r="T39" s="24">
        <f>O39*F39*101.325/8.3145/META!C$23/(273.15+Fluxes!Q39)*10</f>
        <v>-1.0514836499265302E-2</v>
      </c>
      <c r="U39" s="23">
        <f t="shared" si="2"/>
        <v>-7.5706822794710171E-3</v>
      </c>
      <c r="V39" s="94">
        <v>9.7956997967253301</v>
      </c>
      <c r="X39" s="101">
        <v>5.5637336102851197E-3</v>
      </c>
    </row>
    <row r="40" spans="1:24" x14ac:dyDescent="0.25">
      <c r="A40" s="2" t="s">
        <v>50</v>
      </c>
      <c r="B40" s="69">
        <v>67</v>
      </c>
      <c r="C40" s="70">
        <v>73</v>
      </c>
      <c r="D40" s="70">
        <v>73</v>
      </c>
      <c r="E40" s="71">
        <v>69</v>
      </c>
      <c r="F40" s="72">
        <f>(META!C$24+AVERAGE(B40:E40)/10*META!C$23)</f>
        <v>6502.8279999999995</v>
      </c>
      <c r="G40" s="69">
        <v>0</v>
      </c>
      <c r="H40" s="70">
        <v>20</v>
      </c>
      <c r="I40" s="70">
        <v>40</v>
      </c>
      <c r="J40" s="71"/>
      <c r="K40" s="120">
        <v>1.784</v>
      </c>
      <c r="L40" s="121">
        <v>1.9510000000000001</v>
      </c>
      <c r="M40" s="121">
        <v>1.8580000000000001</v>
      </c>
      <c r="N40" s="73"/>
      <c r="O40" s="17">
        <f t="shared" si="3"/>
        <v>1.8500000000000016E-3</v>
      </c>
      <c r="P40" s="5">
        <f t="shared" si="4"/>
        <v>0.19550625981815609</v>
      </c>
      <c r="Q40" s="116">
        <v>26</v>
      </c>
      <c r="R40" s="107"/>
      <c r="S40" s="107">
        <v>51.9</v>
      </c>
      <c r="T40" s="5">
        <f>O40*F40*101.325/8.3145/META!C$23/(273.15+Fluxes!Q40)*10</f>
        <v>1.5599639954280122E-2</v>
      </c>
      <c r="U40" s="17">
        <f t="shared" si="2"/>
        <v>1.1231740767081689E-2</v>
      </c>
      <c r="V40" s="93">
        <v>2.6838001567702015</v>
      </c>
      <c r="X40" s="100">
        <v>-1.621946666069855E-2</v>
      </c>
    </row>
    <row r="41" spans="1:24" x14ac:dyDescent="0.25">
      <c r="A41" s="2" t="s">
        <v>51</v>
      </c>
      <c r="B41" s="69">
        <v>68</v>
      </c>
      <c r="C41" s="70">
        <v>82</v>
      </c>
      <c r="D41" s="70">
        <v>73</v>
      </c>
      <c r="E41" s="71">
        <v>74</v>
      </c>
      <c r="F41" s="72">
        <f>(META!C$24+AVERAGE(B41:E41)/10*META!C$23)</f>
        <v>6620.6379999999999</v>
      </c>
      <c r="G41" s="69">
        <v>0</v>
      </c>
      <c r="H41" s="70">
        <v>20</v>
      </c>
      <c r="I41" s="70">
        <v>40</v>
      </c>
      <c r="J41" s="71"/>
      <c r="K41" s="120">
        <v>2.0379999999999998</v>
      </c>
      <c r="L41" s="121">
        <v>2.008</v>
      </c>
      <c r="M41" s="121">
        <v>1.909</v>
      </c>
      <c r="N41" s="73"/>
      <c r="O41" s="17">
        <f t="shared" si="3"/>
        <v>-3.2249999999999944E-3</v>
      </c>
      <c r="P41" s="5">
        <f t="shared" si="4"/>
        <v>0.91293614219881425</v>
      </c>
      <c r="Q41" s="116">
        <v>26</v>
      </c>
      <c r="R41" s="107"/>
      <c r="S41" s="107">
        <v>50.9</v>
      </c>
      <c r="T41" s="5">
        <f>O41*F41*101.325/8.3145/META!C$23/(273.15+Fluxes!Q41)*10</f>
        <v>-2.7686632791488738E-2</v>
      </c>
      <c r="U41" s="17">
        <f t="shared" si="2"/>
        <v>-1.993437560987189E-2</v>
      </c>
      <c r="V41" s="93">
        <v>2.7045141041656953</v>
      </c>
      <c r="X41" s="100">
        <v>-2.4202972025880679E-2</v>
      </c>
    </row>
    <row r="42" spans="1:24" x14ac:dyDescent="0.25">
      <c r="A42" s="2" t="s">
        <v>52</v>
      </c>
      <c r="B42" s="69">
        <v>70</v>
      </c>
      <c r="C42" s="70">
        <v>76</v>
      </c>
      <c r="D42" s="70">
        <v>87</v>
      </c>
      <c r="E42" s="71">
        <v>73</v>
      </c>
      <c r="F42" s="72">
        <f>(META!C$24+AVERAGE(B42:E42)/10*META!C$23)</f>
        <v>6691.3240000000005</v>
      </c>
      <c r="G42" s="69">
        <v>0</v>
      </c>
      <c r="H42" s="70">
        <v>20</v>
      </c>
      <c r="I42" s="70">
        <v>40</v>
      </c>
      <c r="J42" s="71"/>
      <c r="K42" s="120">
        <v>1.9850000000000001</v>
      </c>
      <c r="L42" s="121">
        <v>1.9159999999999999</v>
      </c>
      <c r="M42" s="121">
        <v>1.9990000000000001</v>
      </c>
      <c r="N42" s="73"/>
      <c r="O42" s="17">
        <f t="shared" si="3"/>
        <v>3.5000000000000032E-4</v>
      </c>
      <c r="P42" s="5">
        <f t="shared" si="4"/>
        <v>2.4818504136417285E-2</v>
      </c>
      <c r="Q42" s="116">
        <v>26</v>
      </c>
      <c r="R42" s="107"/>
      <c r="S42" s="107">
        <v>50.3</v>
      </c>
      <c r="T42" s="5">
        <f>O42*F42*101.325/8.3145/META!C$23/(273.15+Fluxes!Q42)*10</f>
        <v>3.0368314121845701E-3</v>
      </c>
      <c r="U42" s="17">
        <f t="shared" si="2"/>
        <v>2.1865186167728907E-3</v>
      </c>
      <c r="V42" s="93">
        <v>1.902602960440851</v>
      </c>
      <c r="X42" s="100">
        <v>-9.0309020731252528E-3</v>
      </c>
    </row>
    <row r="43" spans="1:24" ht="15.75" thickBot="1" x14ac:dyDescent="0.3">
      <c r="A43" s="3" t="s">
        <v>53</v>
      </c>
      <c r="B43" s="84">
        <v>100</v>
      </c>
      <c r="C43" s="85">
        <v>90</v>
      </c>
      <c r="D43" s="85">
        <v>96</v>
      </c>
      <c r="E43" s="86">
        <v>97</v>
      </c>
      <c r="F43" s="87">
        <f>(META!C$24+AVERAGE(B43:E43)/10*META!C$23)</f>
        <v>7296.0820000000003</v>
      </c>
      <c r="G43" s="84">
        <v>0</v>
      </c>
      <c r="H43" s="85">
        <v>20</v>
      </c>
      <c r="I43" s="85">
        <v>40</v>
      </c>
      <c r="J43" s="86"/>
      <c r="K43" s="128">
        <v>1.98</v>
      </c>
      <c r="L43" s="141">
        <v>2.0259999999999998</v>
      </c>
      <c r="M43" s="129">
        <v>1.9510000000000001</v>
      </c>
      <c r="N43" s="88"/>
      <c r="O43" s="18">
        <f t="shared" si="3"/>
        <v>-7.2499999999999789E-4</v>
      </c>
      <c r="P43" s="6">
        <f t="shared" si="4"/>
        <v>0.146993707760429</v>
      </c>
      <c r="Q43" s="119">
        <v>26</v>
      </c>
      <c r="R43" s="110"/>
      <c r="S43" s="110">
        <v>50.3</v>
      </c>
      <c r="T43" s="6">
        <f>O43*F43*101.325/8.3145/META!C$23/(273.15+Fluxes!Q43)*10</f>
        <v>-6.859118284051279E-3</v>
      </c>
      <c r="U43" s="18">
        <f t="shared" si="2"/>
        <v>-4.9385651645169216E-3</v>
      </c>
      <c r="V43" s="95">
        <v>1.6649595074303403</v>
      </c>
      <c r="X43" s="103">
        <v>-9.7554350404654797E-3</v>
      </c>
    </row>
    <row r="45" spans="1:24" x14ac:dyDescent="0.25">
      <c r="L45" s="140"/>
      <c r="U45" s="8"/>
      <c r="V45" s="8"/>
      <c r="W45" s="8"/>
      <c r="X45" s="8"/>
    </row>
    <row r="46" spans="1:24" x14ac:dyDescent="0.25">
      <c r="L46" s="140"/>
    </row>
  </sheetData>
  <sheetProtection formatCells="0"/>
  <mergeCells count="3">
    <mergeCell ref="K1:N1"/>
    <mergeCell ref="G1:J1"/>
    <mergeCell ref="B1:E1"/>
  </mergeCells>
  <conditionalFormatting sqref="P4:P43">
    <cfRule type="cellIs" dxfId="0" priority="7" operator="lessThan">
      <formula>0.8</formula>
    </cfRule>
  </conditionalFormatting>
  <conditionalFormatting sqref="Z13">
    <cfRule type="colorScale" priority="4">
      <colorScale>
        <cfvo type="min"/>
        <cfvo type="percentile" val="50"/>
        <cfvo type="max"/>
        <color rgb="FF5A8AC6"/>
        <color rgb="FFFCFCFF"/>
        <color rgb="FFF8696B"/>
      </colorScale>
    </cfRule>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7"/>
  <sheetViews>
    <sheetView zoomScale="80" zoomScaleNormal="80" workbookViewId="0">
      <pane xSplit="1" ySplit="3" topLeftCell="B4" activePane="bottomRight" state="frozen"/>
      <selection pane="topRight" activeCell="B1" sqref="B1"/>
      <selection pane="bottomLeft" activeCell="A4" sqref="A4"/>
      <selection pane="bottomRight" activeCell="C10" sqref="C10:C12"/>
    </sheetView>
  </sheetViews>
  <sheetFormatPr defaultRowHeight="15" x14ac:dyDescent="0.25"/>
  <cols>
    <col min="1" max="1" width="13.5703125" customWidth="1"/>
    <col min="2" max="2" width="18.28515625" style="8" bestFit="1" customWidth="1"/>
    <col min="22" max="22" width="9.85546875" bestFit="1" customWidth="1"/>
  </cols>
  <sheetData>
    <row r="1" spans="1:2" s="31" customFormat="1" x14ac:dyDescent="0.25">
      <c r="A1" s="30" t="s">
        <v>67</v>
      </c>
      <c r="B1" s="52" t="s">
        <v>60</v>
      </c>
    </row>
    <row r="2" spans="1:2" x14ac:dyDescent="0.25">
      <c r="A2" s="50"/>
      <c r="B2" s="39"/>
    </row>
    <row r="3" spans="1:2" ht="15.75" thickBot="1" x14ac:dyDescent="0.3">
      <c r="A3" s="51"/>
      <c r="B3" s="49" t="s">
        <v>10</v>
      </c>
    </row>
    <row r="4" spans="1:2" x14ac:dyDescent="0.25">
      <c r="A4" s="53" t="s">
        <v>68</v>
      </c>
      <c r="B4" s="130">
        <v>0.47399999999999998</v>
      </c>
    </row>
    <row r="5" spans="1:2" x14ac:dyDescent="0.25">
      <c r="A5" s="54" t="s">
        <v>69</v>
      </c>
      <c r="B5" s="131">
        <v>0.26300000000000001</v>
      </c>
    </row>
    <row r="6" spans="1:2" x14ac:dyDescent="0.25">
      <c r="A6" s="55" t="s">
        <v>70</v>
      </c>
      <c r="B6" s="132">
        <v>9.5000000000000001E-2</v>
      </c>
    </row>
    <row r="7" spans="1:2" x14ac:dyDescent="0.25">
      <c r="A7" s="56" t="s">
        <v>71</v>
      </c>
      <c r="B7" s="133">
        <v>0.26900000000000002</v>
      </c>
    </row>
    <row r="8" spans="1:2" x14ac:dyDescent="0.25">
      <c r="A8" s="54" t="s">
        <v>72</v>
      </c>
      <c r="B8" s="131">
        <v>0</v>
      </c>
    </row>
    <row r="9" spans="1:2" x14ac:dyDescent="0.25">
      <c r="A9" s="55" t="s">
        <v>73</v>
      </c>
      <c r="B9" s="132">
        <v>0.32300000000000001</v>
      </c>
    </row>
    <row r="10" spans="1:2" x14ac:dyDescent="0.25">
      <c r="A10" s="56" t="s">
        <v>74</v>
      </c>
      <c r="B10" s="133">
        <v>0.66100000000000003</v>
      </c>
    </row>
    <row r="11" spans="1:2" x14ac:dyDescent="0.25">
      <c r="A11" s="54" t="s">
        <v>75</v>
      </c>
      <c r="B11" s="131">
        <v>0</v>
      </c>
    </row>
    <row r="12" spans="1:2" x14ac:dyDescent="0.25">
      <c r="A12" s="55" t="s">
        <v>76</v>
      </c>
      <c r="B12" s="132">
        <v>1.4279999999999999</v>
      </c>
    </row>
    <row r="13" spans="1:2" x14ac:dyDescent="0.25">
      <c r="A13" s="56" t="s">
        <v>77</v>
      </c>
      <c r="B13" s="133">
        <v>0.51600000000000001</v>
      </c>
    </row>
    <row r="14" spans="1:2" x14ac:dyDescent="0.25">
      <c r="A14" s="54" t="s">
        <v>78</v>
      </c>
      <c r="B14" s="131">
        <v>0</v>
      </c>
    </row>
    <row r="15" spans="1:2" x14ac:dyDescent="0.25">
      <c r="A15" s="55" t="s">
        <v>79</v>
      </c>
      <c r="B15" s="132">
        <v>0.33300000000000002</v>
      </c>
    </row>
    <row r="16" spans="1:2" x14ac:dyDescent="0.25">
      <c r="A16" s="56" t="s">
        <v>80</v>
      </c>
      <c r="B16" s="133">
        <v>0</v>
      </c>
    </row>
    <row r="17" spans="1:22" x14ac:dyDescent="0.25">
      <c r="A17" s="54" t="s">
        <v>81</v>
      </c>
      <c r="B17" s="131">
        <v>0</v>
      </c>
    </row>
    <row r="18" spans="1:22" x14ac:dyDescent="0.25">
      <c r="A18" s="55" t="s">
        <v>82</v>
      </c>
      <c r="B18" s="132">
        <v>0.38200000000000001</v>
      </c>
    </row>
    <row r="19" spans="1:22" x14ac:dyDescent="0.25">
      <c r="A19" s="56" t="s">
        <v>83</v>
      </c>
      <c r="B19" s="133">
        <v>0.71699999999999997</v>
      </c>
    </row>
    <row r="20" spans="1:22" x14ac:dyDescent="0.25">
      <c r="A20" s="54" t="s">
        <v>84</v>
      </c>
      <c r="B20" s="131">
        <v>0.252</v>
      </c>
    </row>
    <row r="21" spans="1:22" x14ac:dyDescent="0.25">
      <c r="A21" s="55" t="s">
        <v>85</v>
      </c>
      <c r="B21" s="132">
        <v>0.30499999999999999</v>
      </c>
    </row>
    <row r="22" spans="1:22" x14ac:dyDescent="0.25">
      <c r="A22" s="56" t="s">
        <v>86</v>
      </c>
      <c r="B22" s="133">
        <v>0.752</v>
      </c>
      <c r="V22">
        <f>2^24-1</f>
        <v>16777215</v>
      </c>
    </row>
    <row r="23" spans="1:22" x14ac:dyDescent="0.25">
      <c r="A23" s="54" t="s">
        <v>87</v>
      </c>
      <c r="B23" s="131">
        <v>0.441</v>
      </c>
      <c r="V23">
        <f>2^16-1</f>
        <v>65535</v>
      </c>
    </row>
    <row r="24" spans="1:22" x14ac:dyDescent="0.25">
      <c r="A24" s="55" t="s">
        <v>88</v>
      </c>
      <c r="B24" s="132">
        <v>0.189</v>
      </c>
    </row>
    <row r="25" spans="1:22" x14ac:dyDescent="0.25">
      <c r="A25" s="54" t="s">
        <v>89</v>
      </c>
      <c r="B25" s="131">
        <v>0</v>
      </c>
    </row>
    <row r="26" spans="1:22" x14ac:dyDescent="0.25">
      <c r="A26" s="54" t="s">
        <v>90</v>
      </c>
      <c r="B26" s="131">
        <v>0</v>
      </c>
    </row>
    <row r="27" spans="1:22" ht="15.75" thickBot="1" x14ac:dyDescent="0.3">
      <c r="A27" s="57" t="s">
        <v>91</v>
      </c>
      <c r="B27" s="134">
        <v>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election activeCell="B14" sqref="B14:D14"/>
    </sheetView>
  </sheetViews>
  <sheetFormatPr defaultRowHeight="15" x14ac:dyDescent="0.25"/>
  <cols>
    <col min="2" max="2" width="22.7109375" style="1" customWidth="1"/>
    <col min="3" max="3" width="18" style="1" bestFit="1" customWidth="1"/>
    <col min="4" max="4" width="20.5703125" style="1" bestFit="1" customWidth="1"/>
    <col min="5" max="5" width="19" style="1" bestFit="1" customWidth="1"/>
  </cols>
  <sheetData>
    <row r="1" spans="1:5" ht="15.75" thickBot="1" x14ac:dyDescent="0.3"/>
    <row r="2" spans="1:5" x14ac:dyDescent="0.25">
      <c r="B2" s="10" t="s">
        <v>100</v>
      </c>
      <c r="C2" s="11" t="s">
        <v>99</v>
      </c>
      <c r="D2" s="11" t="s">
        <v>96</v>
      </c>
      <c r="E2" s="12" t="s">
        <v>98</v>
      </c>
    </row>
    <row r="3" spans="1:5" ht="15.75" thickBot="1" x14ac:dyDescent="0.3">
      <c r="B3" s="13" t="s">
        <v>55</v>
      </c>
      <c r="C3" s="14" t="s">
        <v>10</v>
      </c>
      <c r="D3" s="14" t="s">
        <v>97</v>
      </c>
      <c r="E3" s="15" t="s">
        <v>10</v>
      </c>
    </row>
    <row r="4" spans="1:5" x14ac:dyDescent="0.25">
      <c r="B4" s="10" t="s">
        <v>103</v>
      </c>
      <c r="C4" s="111">
        <v>0.995</v>
      </c>
      <c r="D4" s="135"/>
      <c r="E4" s="136"/>
    </row>
    <row r="5" spans="1:5" x14ac:dyDescent="0.25">
      <c r="A5" s="114"/>
      <c r="B5" s="4" t="s">
        <v>104</v>
      </c>
      <c r="C5" s="112">
        <v>0.995</v>
      </c>
      <c r="D5" s="137"/>
      <c r="E5" s="138"/>
    </row>
    <row r="6" spans="1:5" ht="15.75" thickBot="1" x14ac:dyDescent="0.3">
      <c r="B6" s="13"/>
      <c r="C6" s="113"/>
      <c r="D6" s="139"/>
      <c r="E6" s="62"/>
    </row>
    <row r="7" spans="1:5" x14ac:dyDescent="0.25">
      <c r="B7" s="10" t="s">
        <v>105</v>
      </c>
      <c r="C7" s="111">
        <v>2.1949999999999998</v>
      </c>
      <c r="D7" s="135"/>
      <c r="E7" s="136"/>
    </row>
    <row r="8" spans="1:5" x14ac:dyDescent="0.25">
      <c r="B8" s="4" t="s">
        <v>106</v>
      </c>
      <c r="C8" s="112">
        <v>2.1949999999999998</v>
      </c>
      <c r="D8" s="137"/>
      <c r="E8" s="138"/>
    </row>
    <row r="9" spans="1:5" ht="15.75" thickBot="1" x14ac:dyDescent="0.3">
      <c r="B9" s="13"/>
      <c r="C9" s="113"/>
      <c r="D9" s="139"/>
      <c r="E9" s="62"/>
    </row>
    <row r="10" spans="1:5" x14ac:dyDescent="0.25">
      <c r="B10" s="10" t="s">
        <v>107</v>
      </c>
      <c r="C10" s="111">
        <v>9.9469999999999992</v>
      </c>
      <c r="D10" s="135"/>
      <c r="E10" s="136"/>
    </row>
    <row r="11" spans="1:5" x14ac:dyDescent="0.25">
      <c r="B11" s="4" t="s">
        <v>108</v>
      </c>
      <c r="C11" s="112">
        <v>9.9469999999999992</v>
      </c>
      <c r="D11" s="137"/>
      <c r="E11" s="138"/>
    </row>
    <row r="12" spans="1:5" ht="15.75" thickBot="1" x14ac:dyDescent="0.3">
      <c r="B12" s="13"/>
      <c r="C12" s="113"/>
      <c r="D12" s="105"/>
      <c r="E12" s="62"/>
    </row>
    <row r="14" spans="1:5" x14ac:dyDescent="0.25">
      <c r="B14" s="61"/>
    </row>
    <row r="15" spans="1:5" x14ac:dyDescent="0.25">
      <c r="B15" s="61"/>
    </row>
    <row r="16" spans="1:5" x14ac:dyDescent="0.25">
      <c r="B16" s="61"/>
    </row>
    <row r="17" spans="2:2" x14ac:dyDescent="0.25">
      <c r="B17" s="61"/>
    </row>
    <row r="19" spans="2:2" x14ac:dyDescent="0.25">
      <c r="B19" s="61"/>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T19"/>
  <sheetViews>
    <sheetView zoomScale="80" zoomScaleNormal="80" workbookViewId="0">
      <selection activeCell="H27" sqref="H27"/>
    </sheetView>
  </sheetViews>
  <sheetFormatPr defaultRowHeight="15" x14ac:dyDescent="0.25"/>
  <sheetData>
    <row r="19" spans="20:20" x14ac:dyDescent="0.25">
      <c r="T19" t="s">
        <v>102</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META</vt:lpstr>
      <vt:lpstr>Fluxes</vt:lpstr>
      <vt:lpstr>Concentrations</vt:lpstr>
      <vt:lpstr>StandardsA</vt:lpstr>
      <vt:lpstr>Graphs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dc:creator>
  <cp:lastModifiedBy>Diego</cp:lastModifiedBy>
  <dcterms:created xsi:type="dcterms:W3CDTF">2016-03-30T14:58:35Z</dcterms:created>
  <dcterms:modified xsi:type="dcterms:W3CDTF">2017-10-26T21:33:20Z</dcterms:modified>
</cp:coreProperties>
</file>